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31" windowWidth="28560" windowHeight="12855" activeTab="0"/>
  </bookViews>
  <sheets>
    <sheet name="eelarve täitmine" sheetId="1" r:id="rId1"/>
    <sheet name="investeeringud" sheetId="2" r:id="rId2"/>
  </sheets>
  <definedNames/>
  <calcPr fullCalcOnLoad="1"/>
</workbook>
</file>

<file path=xl/comments2.xml><?xml version="1.0" encoding="utf-8"?>
<comments xmlns="http://schemas.openxmlformats.org/spreadsheetml/2006/main">
  <authors>
    <author>merke</author>
  </authors>
  <commentList>
    <comment ref="E191" authorId="0">
      <text>
        <r>
          <rPr>
            <b/>
            <sz val="8"/>
            <rFont val="Tahoma"/>
            <family val="2"/>
          </rPr>
          <t>merke:</t>
        </r>
        <r>
          <rPr>
            <sz val="8"/>
            <rFont val="Tahoma"/>
            <family val="2"/>
          </rPr>
          <t xml:space="preserve">
sh omatulud 114899</t>
        </r>
      </text>
    </comment>
    <comment ref="F191" authorId="0">
      <text>
        <r>
          <rPr>
            <b/>
            <sz val="8"/>
            <rFont val="Tahoma"/>
            <family val="2"/>
          </rPr>
          <t>merke:</t>
        </r>
        <r>
          <rPr>
            <sz val="8"/>
            <rFont val="Tahoma"/>
            <family val="2"/>
          </rPr>
          <t xml:space="preserve">
sh omatulud 40728.7</t>
        </r>
      </text>
    </comment>
  </commentList>
</comments>
</file>

<file path=xl/sharedStrings.xml><?xml version="1.0" encoding="utf-8"?>
<sst xmlns="http://schemas.openxmlformats.org/spreadsheetml/2006/main" count="631" uniqueCount="312">
  <si>
    <t xml:space="preserve">2014.a eelarve investeerimistegevuse kulud </t>
  </si>
  <si>
    <t xml:space="preserve">                                             seisuga 30.09.2014</t>
  </si>
  <si>
    <t>Kinnit.e/a</t>
  </si>
  <si>
    <t>Täpsustatud
eelarve</t>
  </si>
  <si>
    <t xml:space="preserve">Täitmine
a algusest </t>
  </si>
  <si>
    <t>%</t>
  </si>
  <si>
    <t xml:space="preserve"> </t>
  </si>
  <si>
    <t>Investeerimistegevuse kulud  kokku</t>
  </si>
  <si>
    <t>Põhivara soetus</t>
  </si>
  <si>
    <t>PVS</t>
  </si>
  <si>
    <t>sh toetusest</t>
  </si>
  <si>
    <t>Põhivara soetuseks antav sihtfinantseerimine</t>
  </si>
  <si>
    <t>ASF</t>
  </si>
  <si>
    <t>Finantskulud</t>
  </si>
  <si>
    <t>FK</t>
  </si>
  <si>
    <t>Investeerimistegevuse kulud objektide lõikes</t>
  </si>
  <si>
    <t>Kinntatud
eelarve</t>
  </si>
  <si>
    <t>Täpsustatud
eelarve
eelarve</t>
  </si>
  <si>
    <t>sh sept.</t>
  </si>
  <si>
    <t>Üldised valitsussektori teenused</t>
  </si>
  <si>
    <t>LVO</t>
  </si>
  <si>
    <r>
      <t xml:space="preserve">   </t>
    </r>
    <r>
      <rPr>
        <b/>
        <i/>
        <sz val="11"/>
        <rFont val="Times New Roman"/>
        <family val="1"/>
      </rPr>
      <t>Valitsussektori võla teenindamine</t>
    </r>
  </si>
  <si>
    <t>RO</t>
  </si>
  <si>
    <t>Linna laenude teenindamine</t>
  </si>
  <si>
    <t>HO</t>
  </si>
  <si>
    <t>Riigi Kinnisvara ASile (H. Masingu Kooli ja J. Poska Gümnaasiumi) intressid</t>
  </si>
  <si>
    <t>LMO</t>
  </si>
  <si>
    <t>KO</t>
  </si>
  <si>
    <t>Raamatukogu väikebussi liisingu intressid</t>
  </si>
  <si>
    <t>Maarja kooli bussi liisingu intressid</t>
  </si>
  <si>
    <t>LK</t>
  </si>
  <si>
    <t>Linnavalitsuse serverite parendamine</t>
  </si>
  <si>
    <t>EVO</t>
  </si>
  <si>
    <t>SA Tartu Loomemajanduskeskuse laenude intressid</t>
  </si>
  <si>
    <t>Majandus</t>
  </si>
  <si>
    <t xml:space="preserve">  Linna teed, tänavad ja sillad</t>
  </si>
  <si>
    <t>Tänavate rekonstrueerimine, ehitus</t>
  </si>
  <si>
    <t>Tartu idapoolse ringtee projekteerimine ja ehitamine</t>
  </si>
  <si>
    <t>Savi tn ehitus ja järelvalve</t>
  </si>
  <si>
    <t>Roosi tn koos kergliiklusteedega (Muuseumi tee- Jänese)</t>
  </si>
  <si>
    <t>Muuseumi tee koos kergliiklusteedega (Narva mnt-Roosi)</t>
  </si>
  <si>
    <t xml:space="preserve">Pargi tn teekatte rekonstrueerimine </t>
  </si>
  <si>
    <t xml:space="preserve">Jalaka tn (Aardla ristmik) ülekäiguraja projekteerimine ja ehitus </t>
  </si>
  <si>
    <t>Vaksali-Riia ristmik</t>
  </si>
  <si>
    <t>Rüütli tn</t>
  </si>
  <si>
    <t>Soinaste-Aardla-Raudtee ringristmiku tehniline projekt</t>
  </si>
  <si>
    <t>Vaksali tn pikendusele parkla rajamise I etapp</t>
  </si>
  <si>
    <t>Sanatooriumi, Nooruse, Teaduse tn projekteerimine</t>
  </si>
  <si>
    <t>Kesk kaar tn rekonstrueerimise projekteerimine</t>
  </si>
  <si>
    <t>Kruusakattega tänavate asfalteerimine</t>
  </si>
  <si>
    <t xml:space="preserve">   Liiva tn</t>
  </si>
  <si>
    <t xml:space="preserve">   Lõkketule tn</t>
  </si>
  <si>
    <t xml:space="preserve">   Ranna tn</t>
  </si>
  <si>
    <t xml:space="preserve">   Sarapuu tn</t>
  </si>
  <si>
    <t xml:space="preserve">   Sepavälja tn</t>
  </si>
  <si>
    <t>Ülekatted ja pindamised</t>
  </si>
  <si>
    <t xml:space="preserve">   Aardla tn</t>
  </si>
  <si>
    <t xml:space="preserve">   Hipodroomi tn</t>
  </si>
  <si>
    <t xml:space="preserve">   Ravila tn </t>
  </si>
  <si>
    <t xml:space="preserve">   Riia tn</t>
  </si>
  <si>
    <t xml:space="preserve">   Tuglase tn</t>
  </si>
  <si>
    <t xml:space="preserve">   Põhja pst</t>
  </si>
  <si>
    <t xml:space="preserve">   Tähtvere tn</t>
  </si>
  <si>
    <t xml:space="preserve">   Lammi tn</t>
  </si>
  <si>
    <t>Jalg- ja jalgrattateed</t>
  </si>
  <si>
    <t xml:space="preserve">   Lai-Jakobi ülekäigurada</t>
  </si>
  <si>
    <t xml:space="preserve">   Teguri tn</t>
  </si>
  <si>
    <t xml:space="preserve">   Kaunase pst 7 esise kõnniteeehitus</t>
  </si>
  <si>
    <t xml:space="preserve">   Tähtvere spordipargi asfalteeritud rullirada</t>
  </si>
  <si>
    <t xml:space="preserve">   kergliiklustee EMÜ-Supilinn</t>
  </si>
  <si>
    <t>Sadevee liitumistasu</t>
  </si>
  <si>
    <t>Infrastruktuuri arenduste kompensatsioonid</t>
  </si>
  <si>
    <t>Lõunakeskuse teed</t>
  </si>
  <si>
    <t>Oksa ja Ladva tänavad</t>
  </si>
  <si>
    <t>Kvissentali elamurajoon</t>
  </si>
  <si>
    <t>Koostöö võrguarendajatega</t>
  </si>
  <si>
    <t xml:space="preserve">   Kruusamäe tn kõnnitee</t>
  </si>
  <si>
    <t xml:space="preserve">   Rahu tn taastusremont</t>
  </si>
  <si>
    <t xml:space="preserve">Sillad </t>
  </si>
  <si>
    <t>Võidu sild</t>
  </si>
  <si>
    <r>
      <t xml:space="preserve">   </t>
    </r>
    <r>
      <rPr>
        <b/>
        <i/>
        <sz val="11"/>
        <rFont val="Times New Roman"/>
        <family val="1"/>
      </rPr>
      <t>Transpordikorraldus</t>
    </r>
  </si>
  <si>
    <t>Projekt “Tartu ühistranspordi juhtimis- ja kontrollsüsteemi arendamine"</t>
  </si>
  <si>
    <t xml:space="preserve">   Veetransport</t>
  </si>
  <si>
    <t>Sõpruse silla paadisadam</t>
  </si>
  <si>
    <r>
      <t xml:space="preserve">   </t>
    </r>
    <r>
      <rPr>
        <b/>
        <i/>
        <sz val="11"/>
        <rFont val="Times New Roman"/>
        <family val="1"/>
      </rPr>
      <t>Üldmajanduslikud arendusprojektid</t>
    </r>
  </si>
  <si>
    <t xml:space="preserve">Toetus SA-le Tartu Teaduspark infrastruktuuri arendamiseks </t>
  </si>
  <si>
    <t xml:space="preserve">  Muu majandus</t>
  </si>
  <si>
    <t>Ettekirjutuste täitmiseks linna hoonetes</t>
  </si>
  <si>
    <t>Tiigi 11 remont</t>
  </si>
  <si>
    <t>Korteriühistute remondifond</t>
  </si>
  <si>
    <t>Vaksali 14 remont</t>
  </si>
  <si>
    <t>Küüni 1 I korruse ruumide remont</t>
  </si>
  <si>
    <t xml:space="preserve">Tartu Saksa Kultuuri Instituut </t>
  </si>
  <si>
    <t>Raekoja plats 18 invatõstuki paigaldus</t>
  </si>
  <si>
    <t>Kalevi 13 Loomemajanduskeskuse remont</t>
  </si>
  <si>
    <t>Keskkonnakaitse</t>
  </si>
  <si>
    <r>
      <t xml:space="preserve">   </t>
    </r>
    <r>
      <rPr>
        <b/>
        <i/>
        <sz val="11"/>
        <rFont val="Times New Roman"/>
        <family val="1"/>
      </rPr>
      <t>Jäätmekäitlus</t>
    </r>
  </si>
  <si>
    <t>Jäätmemajade rajamine, sügavkogumismahutite paigaldamine</t>
  </si>
  <si>
    <t>Jäätmekäitluse tarkvara</t>
  </si>
  <si>
    <t xml:space="preserve">   Veemajandus</t>
  </si>
  <si>
    <t>Hüdrantide rajamine</t>
  </si>
  <si>
    <r>
      <t xml:space="preserve">   </t>
    </r>
    <r>
      <rPr>
        <b/>
        <i/>
        <sz val="11"/>
        <rFont val="Times New Roman"/>
        <family val="1"/>
      </rPr>
      <t>Haljastus</t>
    </r>
  </si>
  <si>
    <t>Anne kanali tualettide projekteerimine ja ehitus</t>
  </si>
  <si>
    <t>Toomemäe pargi treppide ja kõnniteede remont</t>
  </si>
  <si>
    <t>Mänguväljaku rajamine</t>
  </si>
  <si>
    <t>Politsei park</t>
  </si>
  <si>
    <t>Linnupeletite ost</t>
  </si>
  <si>
    <t xml:space="preserve">   Muu keskkonnakaitse</t>
  </si>
  <si>
    <t>Projekt "Säästliku ja jätkusuutliku harrastuskalapüügi arendamine Emajõel"</t>
  </si>
  <si>
    <t>Elamu ja kommunaalmajandus</t>
  </si>
  <si>
    <t xml:space="preserve">   Elamumajanduse arendamine</t>
  </si>
  <si>
    <t xml:space="preserve">Linnale kuuluvate korterite remont </t>
  </si>
  <si>
    <t xml:space="preserve">Linnale kuuluvate elamute remont </t>
  </si>
  <si>
    <t xml:space="preserve">   Tänavavalgustus</t>
  </si>
  <si>
    <t>Õhuliinide rekonstrueerimine koostöös Elektrilevi OÜga</t>
  </si>
  <si>
    <t>Olemasolevate valgustite asendamine  LED ja säästuseadmetega valgustitega</t>
  </si>
  <si>
    <t>Projekt " Efektiivne ja keskkonnasõbralik tänavavalgustus I"</t>
  </si>
  <si>
    <t>Amortiseerunud telemeetriaseadmete väljavahetamine</t>
  </si>
  <si>
    <t>Ohtlike tänavavalgustusmastide vahetus</t>
  </si>
  <si>
    <t>Ropka mänguväljaku valgustus</t>
  </si>
  <si>
    <t xml:space="preserve">  Muu elamu- ja kommunaaltegevus</t>
  </si>
  <si>
    <t>Raadi kalmistu kontorihoone remont</t>
  </si>
  <si>
    <t>Tuigo kalmistule uue salvkaevu ehitus</t>
  </si>
  <si>
    <t>Raadi kalmistu aia remont</t>
  </si>
  <si>
    <t>Asutusele Kalmistu murutraktori soetus</t>
  </si>
  <si>
    <t>Vabaaeg ja kultuur</t>
  </si>
  <si>
    <t xml:space="preserve">   Spordibaasid</t>
  </si>
  <si>
    <t>EMÜ spordihoone ehitamise toetus</t>
  </si>
  <si>
    <t>TÜ spordihoone renoveerimise toetus</t>
  </si>
  <si>
    <t>Veski spordibaasi renoveerimine</t>
  </si>
  <si>
    <t>SA Tartu Sport</t>
  </si>
  <si>
    <t>Sõudmise ja Aerutamiskeskuse  olmehoone Ranna tee 3</t>
  </si>
  <si>
    <t>Annelinna kunstmuruväljak</t>
  </si>
  <si>
    <t>MTÜ Tartu Koerasport koerte treeningusaali 
põrandakatte soetus</t>
  </si>
  <si>
    <t>SA Tartu Sport Annemõisa hokikeskuse renov.</t>
  </si>
  <si>
    <t>MTÜ Tenniseklubi V.Tamme tenniseväljakute rekonstrueerimise toetus</t>
  </si>
  <si>
    <t xml:space="preserve">   Puhkepargid</t>
  </si>
  <si>
    <t>SA Tartu Puhkepark laululava ja raadiomaja valguskaabli paigaldus</t>
  </si>
  <si>
    <r>
      <t xml:space="preserve">   </t>
    </r>
    <r>
      <rPr>
        <b/>
        <i/>
        <sz val="11"/>
        <rFont val="Times New Roman"/>
        <family val="1"/>
      </rPr>
      <t>Laste huvikoolid</t>
    </r>
  </si>
  <si>
    <t>II Muusikakool (Kaunase pst 23)</t>
  </si>
  <si>
    <t>Tartu Loodusmaja (Lille 10)</t>
  </si>
  <si>
    <t>Pillide ost</t>
  </si>
  <si>
    <t xml:space="preserve">   Laste huvialamajad ja keskused</t>
  </si>
  <si>
    <t xml:space="preserve">Anne Noortekeskus (Uus 56) </t>
  </si>
  <si>
    <t xml:space="preserve">   Vaba aja üritused</t>
  </si>
  <si>
    <t>Vooremäe Terviserajale rajatraktori soetus</t>
  </si>
  <si>
    <t>MTÜ-le Tartu Kalev Veemotoklubi võistluspaadi soetus</t>
  </si>
  <si>
    <t xml:space="preserve">   Raamatukogud</t>
  </si>
  <si>
    <t xml:space="preserve">O.Lutsu nim.Linnaraamatukogu Kompanii 3/5 </t>
  </si>
  <si>
    <t xml:space="preserve">  Muuseumid</t>
  </si>
  <si>
    <t>Linnamuuseum (Narva mnt 23)</t>
  </si>
  <si>
    <t xml:space="preserve">   Muinsuskaitse</t>
  </si>
  <si>
    <t xml:space="preserve">Toetus SAle Tartu Pauluse Kirik </t>
  </si>
  <si>
    <t xml:space="preserve">ToetusTartu Maarja Kiriku SA-le </t>
  </si>
  <si>
    <t xml:space="preserve">Toetus EELK Tartu Peetri Kogudusele </t>
  </si>
  <si>
    <t>AEO</t>
  </si>
  <si>
    <t>Restaureerimise toetused</t>
  </si>
  <si>
    <t xml:space="preserve">   Seltsitegevus</t>
  </si>
  <si>
    <t>Heli, valgus ja kinotehnika soetus (kaasav eelarve)</t>
  </si>
  <si>
    <t>Haridus</t>
  </si>
  <si>
    <t xml:space="preserve">   Lasteaiad</t>
  </si>
  <si>
    <t>Uute lasteaia- ja -hoiukohtade loomise toetus</t>
  </si>
  <si>
    <t>Lasteaedade projekteerimine</t>
  </si>
  <si>
    <t>Ventilatsioonide korrastamine lasteaedade köökides</t>
  </si>
  <si>
    <t>Lasteaedade köökide sisustamine</t>
  </si>
  <si>
    <t>Lasteaed Hellik (Aardla 138)</t>
  </si>
  <si>
    <t>Kesklinna Lastekeskus (Akadeemia 2)</t>
  </si>
  <si>
    <t>Lasteaed Ploomike (Ploomi 1)</t>
  </si>
  <si>
    <t>Lasteaed Maarjamõisa (Puusepa 10)</t>
  </si>
  <si>
    <t>Lasteaed Meelespea Ilmatsalu 24a</t>
  </si>
  <si>
    <t>Lasteaed Kelluke Kaunase pst 69</t>
  </si>
  <si>
    <t>Lasteaed Poku (Anne 69)</t>
  </si>
  <si>
    <t xml:space="preserve">Tartu Vaba Waldorfkool </t>
  </si>
  <si>
    <t>Lasteaedade välistreppide rekonstrueerimine</t>
  </si>
  <si>
    <t xml:space="preserve">   Põhikoolid</t>
  </si>
  <si>
    <t>M. Reiniku Kool (Riia 25)</t>
  </si>
  <si>
    <t>Forseliuse Kool (Tähe 103)</t>
  </si>
  <si>
    <t xml:space="preserve">Raatuse Kool (Raatuse 88a) </t>
  </si>
  <si>
    <t>Veeriku Kool (Veeriku 41)</t>
  </si>
  <si>
    <t>Maarja Kooli tool-tõstuki soetamine ja paigaldamine</t>
  </si>
  <si>
    <t xml:space="preserve">    Gümnaasiumid</t>
  </si>
  <si>
    <t>Kivilinna Gümnaasium (Kaunase pst 71)</t>
  </si>
  <si>
    <t>Descartes'i Lütseum (Anne 65)</t>
  </si>
  <si>
    <t>Kunstigümnaasium (Aianduse 4)</t>
  </si>
  <si>
    <t>Koolihoone (Nooruse 9)</t>
  </si>
  <si>
    <t>Karlova Gümnaasium (Lina 2)</t>
  </si>
  <si>
    <t>Klaveri ost Karlova Gümnaasiumile</t>
  </si>
  <si>
    <t>Miina Härma Gümnaasium (Tõnissoni 3)</t>
  </si>
  <si>
    <t>Kristjan Jaak Petersoni pronkskuju soetamine</t>
  </si>
  <si>
    <t>Koolide spordiväljakute inventar</t>
  </si>
  <si>
    <r>
      <t xml:space="preserve">   </t>
    </r>
    <r>
      <rPr>
        <b/>
        <i/>
        <sz val="11"/>
        <rFont val="Times New Roman"/>
        <family val="1"/>
      </rPr>
      <t>Täiskasvanute Gümnaasium</t>
    </r>
  </si>
  <si>
    <t>Täiskasvanute Gümnaasium (Riia 142 )</t>
  </si>
  <si>
    <r>
      <t xml:space="preserve">   </t>
    </r>
    <r>
      <rPr>
        <b/>
        <i/>
        <sz val="11"/>
        <rFont val="Times New Roman"/>
        <family val="1"/>
      </rPr>
      <t>Kutseõppeasutused</t>
    </r>
  </si>
  <si>
    <t>Kutsehariduskeskus (Põllu 11)</t>
  </si>
  <si>
    <t>Kutsehariduskeskus (Kopli 1)</t>
  </si>
  <si>
    <t>Kutsehariduskeskusele masinate ja seadmete soetus</t>
  </si>
  <si>
    <r>
      <t xml:space="preserve">   </t>
    </r>
    <r>
      <rPr>
        <b/>
        <i/>
        <sz val="11"/>
        <rFont val="Times New Roman"/>
        <family val="1"/>
      </rPr>
      <t>Taseme alusel mittemääratletav haridus</t>
    </r>
  </si>
  <si>
    <t>Kutsehariduskeskus (Põllu 11) parkla rajamine</t>
  </si>
  <si>
    <t xml:space="preserve">   Muu haridus </t>
  </si>
  <si>
    <t>Ettekirjutiste täitmine</t>
  </si>
  <si>
    <t>Haridusasutuste rekonstrueerimistööde projekteerimised</t>
  </si>
  <si>
    <t>Sotsiaalne kaitse</t>
  </si>
  <si>
    <r>
      <t xml:space="preserve">   </t>
    </r>
    <r>
      <rPr>
        <b/>
        <i/>
        <sz val="11"/>
        <rFont val="Times New Roman"/>
        <family val="1"/>
      </rPr>
      <t>Eakate hoolekande asutused</t>
    </r>
  </si>
  <si>
    <t>SO</t>
  </si>
  <si>
    <t>Hooldekodule majandus- ja hooldusinventari soetus</t>
  </si>
  <si>
    <t xml:space="preserve">   Laste ja noorte hoolekande asutused</t>
  </si>
  <si>
    <t>Lastekodu Käopesa (Jaama 72)</t>
  </si>
  <si>
    <t xml:space="preserve">   Muud riskirühmade sotsiaalhoolekande
   asutused </t>
  </si>
  <si>
    <t>OÜ Anne Saun (Anne 44) pesuruumide rekonstrueerimine</t>
  </si>
  <si>
    <t>Annelinna uue piirkonnakeskuse rajamine (Anne 44)</t>
  </si>
  <si>
    <t>Ülikooli 1 lastehoiu ruumide remont</t>
  </si>
  <si>
    <t>Eelarve täitmise aruanne</t>
  </si>
  <si>
    <t>Tartu Linnavalitsus</t>
  </si>
  <si>
    <t>2014 vs 2013</t>
  </si>
  <si>
    <t>seisuga:</t>
  </si>
  <si>
    <t>Täitmine</t>
  </si>
  <si>
    <t xml:space="preserve">Eelarve </t>
  </si>
  <si>
    <t>muutus</t>
  </si>
  <si>
    <t>Klassifikaator</t>
  </si>
  <si>
    <t>Kirje nimetus</t>
  </si>
  <si>
    <t>eurodes</t>
  </si>
  <si>
    <t>PÕHITEGEVUSE TULUD KOKKU</t>
  </si>
  <si>
    <t>Maksutulud</t>
  </si>
  <si>
    <t>Füüsilise isiku tulumaks</t>
  </si>
  <si>
    <t>Maamaks</t>
  </si>
  <si>
    <t>Reklaamimaks</t>
  </si>
  <si>
    <t>Teede ja tänavate sulgemise maks</t>
  </si>
  <si>
    <t>Parkimistasu</t>
  </si>
  <si>
    <t>Tulud kaupade ja teenuste müügist</t>
  </si>
  <si>
    <t>3500, 352</t>
  </si>
  <si>
    <t>Saadavad toetused tegevuskuludeks</t>
  </si>
  <si>
    <t>352.00.17.1</t>
  </si>
  <si>
    <t>Tasandusfond (lg 1)</t>
  </si>
  <si>
    <t>352.00.17.2</t>
  </si>
  <si>
    <t>Toetusfond (lg 2)</t>
  </si>
  <si>
    <t>3500, 352.01.. .8</t>
  </si>
  <si>
    <t>Muud saadud toetused tegevuskuludeks</t>
  </si>
  <si>
    <t>3825, 388</t>
  </si>
  <si>
    <t xml:space="preserve">Muud tegevustulud </t>
  </si>
  <si>
    <t>382500, 38252</t>
  </si>
  <si>
    <t>Kaevandamisõiguse tasu</t>
  </si>
  <si>
    <t>x</t>
  </si>
  <si>
    <t>Laekumine vee erikasutusest</t>
  </si>
  <si>
    <t>Saastetasud ja keskkonnale tekitatud kahju hüvitis</t>
  </si>
  <si>
    <t>3880, 3888</t>
  </si>
  <si>
    <t xml:space="preserve">Muud eelpool nimetamata muud tegevustulud </t>
  </si>
  <si>
    <t>PÕHITEGEVUSE KULUD KOKKU</t>
  </si>
  <si>
    <t>40, 41, 4500, 452</t>
  </si>
  <si>
    <t>Antavad toetused tegevuskuludeks</t>
  </si>
  <si>
    <t>Muud tegevuskulud</t>
  </si>
  <si>
    <t>Personalikulud</t>
  </si>
  <si>
    <t>s h töötasud</t>
  </si>
  <si>
    <t>Majandamiskulud</t>
  </si>
  <si>
    <t>Muud kulud</t>
  </si>
  <si>
    <t>PÕHITEGEVUSE TULEM</t>
  </si>
  <si>
    <t>INVESTEERIMISTEGEVUS KOKKU</t>
  </si>
  <si>
    <t>sh investeerimistegevuse tulud (+)</t>
  </si>
  <si>
    <t>sh investeerimistegevuse kulud  (-)</t>
  </si>
  <si>
    <t>Põhivara müük (+)</t>
  </si>
  <si>
    <t>s h  maa müük</t>
  </si>
  <si>
    <t xml:space="preserve">       rajatiste ja hoonete müük</t>
  </si>
  <si>
    <t>Põhivara soetus (-)</t>
  </si>
  <si>
    <t>s h  maa soetamine</t>
  </si>
  <si>
    <t xml:space="preserve">       rajatiste ja hoonete soetamine ja renoveerimine</t>
  </si>
  <si>
    <t xml:space="preserve">       masinate ja seadmete soetamine ja renoveerimine</t>
  </si>
  <si>
    <t xml:space="preserve">Põhivara soetuseks saadav sihtfinantseerimine(+) </t>
  </si>
  <si>
    <t>Põhivara soetuseks antav sihtfinantseerimine(-)</t>
  </si>
  <si>
    <t>101.2.1</t>
  </si>
  <si>
    <t>Osaluste müük (+)</t>
  </si>
  <si>
    <t>101.1.1</t>
  </si>
  <si>
    <t>Osaluste soetus (-)</t>
  </si>
  <si>
    <t>101.2.2</t>
  </si>
  <si>
    <t>Muude aktsiate ja osade müük (+)</t>
  </si>
  <si>
    <t>101.1.2</t>
  </si>
  <si>
    <t>Muude aktsiate ja osade soetus (-)</t>
  </si>
  <si>
    <t>1032.2</t>
  </si>
  <si>
    <t>Tagasilaekuvad laenud (+)</t>
  </si>
  <si>
    <t>1032.1</t>
  </si>
  <si>
    <t>Antavad laenud (-)</t>
  </si>
  <si>
    <t>Finantstulud (+)</t>
  </si>
  <si>
    <t>Finantskulud (-)</t>
  </si>
  <si>
    <t>EELARVE TULEM (ÜLEJÄÄK (+) / PUUDUJÄÄK (-))</t>
  </si>
  <si>
    <t>FINANTSEERIMISTEGEVUS</t>
  </si>
  <si>
    <t>20.5</t>
  </si>
  <si>
    <t>Kohustuste võtmine (+)</t>
  </si>
  <si>
    <t>2080.5</t>
  </si>
  <si>
    <t>s h  võlakirjade emiteerimine</t>
  </si>
  <si>
    <t>2081.5</t>
  </si>
  <si>
    <t xml:space="preserve">       laenud</t>
  </si>
  <si>
    <t>2082.5</t>
  </si>
  <si>
    <t xml:space="preserve">       kapitalirent </t>
  </si>
  <si>
    <t>20.6</t>
  </si>
  <si>
    <t>Kohustuste tasumine (-)</t>
  </si>
  <si>
    <t>2080.6</t>
  </si>
  <si>
    <t>2081.6</t>
  </si>
  <si>
    <t>2082.6</t>
  </si>
  <si>
    <t>LIKVIIDSETE VARADE MUUTUS</t>
  </si>
  <si>
    <t>Põhitegevuse kulud TEGEVUSALATI</t>
  </si>
  <si>
    <t>01</t>
  </si>
  <si>
    <t>03</t>
  </si>
  <si>
    <t>Avalik kord ja julgeolek</t>
  </si>
  <si>
    <t>04</t>
  </si>
  <si>
    <t>05</t>
  </si>
  <si>
    <t>06</t>
  </si>
  <si>
    <t>Elamu- ja kommunaalmajandus</t>
  </si>
  <si>
    <t>07</t>
  </si>
  <si>
    <t>Tervishoid</t>
  </si>
  <si>
    <t>08</t>
  </si>
  <si>
    <t>Vabaaeg, kultuur ja religioon</t>
  </si>
  <si>
    <t>09</t>
  </si>
  <si>
    <t>10</t>
  </si>
  <si>
    <t>Investeerimistegevuse kulud TEGEVUSALATI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</si>
</sst>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_(* #,##0.00_);_(* \(#,##0.00\);_(* &quot;-&quot;??_);_(@_)"/>
    <numFmt numFmtId="167" formatCode="0.0%"/>
    <numFmt numFmtId="168" formatCode="##,##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1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i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10"/>
      <color indexed="12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Times New Roman"/>
      <family val="1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ED2DC"/>
        <bgColor indexed="64"/>
      </patternFill>
    </fill>
    <fill>
      <patternFill patternType="solid">
        <fgColor rgb="FFF0E1FF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/>
    </border>
    <border>
      <left style="thin"/>
      <right/>
      <top style="thin"/>
      <bottom/>
    </border>
    <border>
      <left style="thin"/>
      <right style="thin"/>
      <top>
        <color indexed="63"/>
      </top>
      <bottom style="thin"/>
    </border>
    <border>
      <left style="hair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>
        <color indexed="63"/>
      </right>
      <top style="thin"/>
      <bottom style="medium"/>
    </border>
    <border>
      <left style="medium"/>
      <right/>
      <top/>
      <bottom style="thin"/>
    </border>
    <border>
      <left style="medium"/>
      <right/>
      <top/>
      <bottom/>
    </border>
    <border>
      <left style="thin"/>
      <right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/>
      <top/>
      <bottom style="hair"/>
    </border>
    <border>
      <left style="thin"/>
      <right>
        <color indexed="63"/>
      </right>
      <top/>
      <bottom style="hair"/>
    </border>
    <border>
      <left style="medium"/>
      <right/>
      <top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>
        <color indexed="63"/>
      </right>
      <top style="medium"/>
      <bottom/>
    </border>
    <border>
      <left/>
      <right/>
      <top style="thin"/>
      <bottom/>
    </border>
    <border>
      <left style="thin"/>
      <right/>
      <top/>
      <bottom style="medium"/>
    </border>
    <border>
      <left style="hair"/>
      <right/>
      <top/>
      <bottom style="medium"/>
    </border>
    <border>
      <left style="hair"/>
      <right/>
      <top/>
      <bottom style="thin"/>
    </border>
    <border>
      <left style="hair"/>
      <right/>
      <top style="thin"/>
      <bottom style="thin"/>
    </border>
    <border>
      <left style="hair"/>
      <right/>
      <top style="medium"/>
      <bottom style="medium"/>
    </border>
    <border>
      <left style="hair"/>
      <right/>
      <top/>
      <bottom style="hair"/>
    </border>
    <border>
      <left style="hair"/>
      <right/>
      <top style="medium"/>
      <bottom/>
    </border>
    <border>
      <left/>
      <right style="hair"/>
      <top/>
      <bottom/>
    </border>
    <border>
      <left/>
      <right style="hair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/>
      <right style="thin"/>
      <top/>
      <bottom/>
    </border>
    <border>
      <left/>
      <right style="thin"/>
      <top/>
      <bottom style="medium"/>
    </border>
  </borders>
  <cellStyleXfs count="2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44" fillId="31" borderId="7" applyNumberFormat="0" applyFont="0" applyAlignment="0" applyProtection="0"/>
    <xf numFmtId="0" fontId="44" fillId="31" borderId="7" applyNumberFormat="0" applyFont="0" applyAlignment="0" applyProtection="0"/>
    <xf numFmtId="0" fontId="44" fillId="31" borderId="7" applyNumberFormat="0" applyFont="0" applyAlignment="0" applyProtection="0"/>
    <xf numFmtId="0" fontId="44" fillId="31" borderId="7" applyNumberFormat="0" applyFont="0" applyAlignment="0" applyProtection="0"/>
    <xf numFmtId="0" fontId="44" fillId="31" borderId="7" applyNumberFormat="0" applyFont="0" applyAlignment="0" applyProtection="0"/>
    <xf numFmtId="0" fontId="44" fillId="31" borderId="7" applyNumberFormat="0" applyFont="0" applyAlignment="0" applyProtection="0"/>
    <xf numFmtId="0" fontId="44" fillId="31" borderId="7" applyNumberFormat="0" applyFont="0" applyAlignment="0" applyProtection="0"/>
    <xf numFmtId="0" fontId="44" fillId="31" borderId="7" applyNumberFormat="0" applyFont="0" applyAlignment="0" applyProtection="0"/>
    <xf numFmtId="0" fontId="44" fillId="31" borderId="7" applyNumberFormat="0" applyFont="0" applyAlignment="0" applyProtection="0"/>
    <xf numFmtId="0" fontId="56" fillId="32" borderId="0" applyNumberFormat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7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31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9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164" fontId="3" fillId="0" borderId="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/>
    </xf>
    <xf numFmtId="164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3" fontId="3" fillId="0" borderId="10" xfId="0" applyNumberFormat="1" applyFont="1" applyFill="1" applyBorder="1" applyAlignment="1">
      <alignment horizontal="right"/>
    </xf>
    <xf numFmtId="165" fontId="2" fillId="0" borderId="1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0" fontId="2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3" fontId="2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3" fontId="3" fillId="0" borderId="10" xfId="0" applyNumberFormat="1" applyFont="1" applyFill="1" applyBorder="1" applyAlignment="1">
      <alignment/>
    </xf>
    <xf numFmtId="165" fontId="3" fillId="0" borderId="10" xfId="0" applyNumberFormat="1" applyFont="1" applyFill="1" applyBorder="1" applyAlignment="1">
      <alignment/>
    </xf>
    <xf numFmtId="3" fontId="2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3" fontId="7" fillId="0" borderId="10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3" fontId="2" fillId="33" borderId="0" xfId="0" applyNumberFormat="1" applyFont="1" applyFill="1" applyAlignment="1">
      <alignment/>
    </xf>
    <xf numFmtId="49" fontId="3" fillId="0" borderId="10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wrapText="1"/>
    </xf>
    <xf numFmtId="49" fontId="7" fillId="0" borderId="10" xfId="0" applyNumberFormat="1" applyFont="1" applyFill="1" applyBorder="1" applyAlignment="1">
      <alignment wrapText="1"/>
    </xf>
    <xf numFmtId="3" fontId="7" fillId="34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wrapText="1"/>
    </xf>
    <xf numFmtId="49" fontId="5" fillId="0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wrapText="1"/>
    </xf>
    <xf numFmtId="49" fontId="5" fillId="2" borderId="10" xfId="0" applyNumberFormat="1" applyFont="1" applyFill="1" applyBorder="1" applyAlignment="1">
      <alignment wrapText="1"/>
    </xf>
    <xf numFmtId="3" fontId="2" fillId="2" borderId="10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165" fontId="2" fillId="2" borderId="10" xfId="0" applyNumberFormat="1" applyFont="1" applyFill="1" applyBorder="1" applyAlignment="1">
      <alignment/>
    </xf>
    <xf numFmtId="49" fontId="2" fillId="35" borderId="10" xfId="0" applyNumberFormat="1" applyFont="1" applyFill="1" applyBorder="1" applyAlignment="1">
      <alignment wrapText="1"/>
    </xf>
    <xf numFmtId="49" fontId="5" fillId="35" borderId="10" xfId="0" applyNumberFormat="1" applyFont="1" applyFill="1" applyBorder="1" applyAlignment="1">
      <alignment wrapText="1"/>
    </xf>
    <xf numFmtId="3" fontId="2" fillId="35" borderId="10" xfId="0" applyNumberFormat="1" applyFont="1" applyFill="1" applyBorder="1" applyAlignment="1">
      <alignment/>
    </xf>
    <xf numFmtId="3" fontId="3" fillId="2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 wrapText="1"/>
    </xf>
    <xf numFmtId="49" fontId="8" fillId="0" borderId="10" xfId="0" applyNumberFormat="1" applyFont="1" applyFill="1" applyBorder="1" applyAlignment="1">
      <alignment wrapText="1"/>
    </xf>
    <xf numFmtId="0" fontId="2" fillId="0" borderId="10" xfId="176" applyFont="1" applyBorder="1" applyAlignment="1">
      <alignment wrapText="1"/>
      <protection/>
    </xf>
    <xf numFmtId="0" fontId="2" fillId="2" borderId="10" xfId="176" applyFont="1" applyFill="1" applyBorder="1" applyAlignment="1">
      <alignment wrapText="1"/>
      <protection/>
    </xf>
    <xf numFmtId="165" fontId="2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165" fontId="3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wrapText="1"/>
    </xf>
    <xf numFmtId="0" fontId="2" fillId="2" borderId="10" xfId="0" applyFont="1" applyFill="1" applyBorder="1" applyAlignment="1">
      <alignment wrapText="1"/>
    </xf>
    <xf numFmtId="0" fontId="5" fillId="2" borderId="10" xfId="0" applyFont="1" applyFill="1" applyBorder="1" applyAlignment="1">
      <alignment wrapText="1"/>
    </xf>
    <xf numFmtId="165" fontId="2" fillId="33" borderId="10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165" fontId="2" fillId="35" borderId="10" xfId="0" applyNumberFormat="1" applyFont="1" applyFill="1" applyBorder="1" applyAlignment="1">
      <alignment/>
    </xf>
    <xf numFmtId="0" fontId="7" fillId="0" borderId="10" xfId="176" applyFont="1" applyBorder="1" applyAlignment="1">
      <alignment wrapText="1"/>
      <protection/>
    </xf>
    <xf numFmtId="0" fontId="2" fillId="0" borderId="10" xfId="176" applyFont="1" applyBorder="1" applyAlignment="1">
      <alignment horizontal="left" wrapText="1"/>
      <protection/>
    </xf>
    <xf numFmtId="3" fontId="10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3" fontId="11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wrapText="1"/>
    </xf>
    <xf numFmtId="3" fontId="13" fillId="0" borderId="10" xfId="0" applyNumberFormat="1" applyFont="1" applyFill="1" applyBorder="1" applyAlignment="1">
      <alignment/>
    </xf>
    <xf numFmtId="0" fontId="13" fillId="2" borderId="10" xfId="0" applyFont="1" applyFill="1" applyBorder="1" applyAlignment="1">
      <alignment wrapText="1"/>
    </xf>
    <xf numFmtId="0" fontId="14" fillId="2" borderId="10" xfId="0" applyFont="1" applyFill="1" applyBorder="1" applyAlignment="1">
      <alignment wrapText="1"/>
    </xf>
    <xf numFmtId="3" fontId="2" fillId="4" borderId="10" xfId="0" applyNumberFormat="1" applyFont="1" applyFill="1" applyBorder="1" applyAlignment="1">
      <alignment/>
    </xf>
    <xf numFmtId="0" fontId="14" fillId="35" borderId="10" xfId="0" applyFont="1" applyFill="1" applyBorder="1" applyAlignment="1">
      <alignment wrapText="1"/>
    </xf>
    <xf numFmtId="0" fontId="2" fillId="35" borderId="1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164" fontId="2" fillId="0" borderId="0" xfId="0" applyNumberFormat="1" applyFont="1" applyFill="1" applyBorder="1" applyAlignment="1">
      <alignment/>
    </xf>
    <xf numFmtId="3" fontId="2" fillId="35" borderId="0" xfId="0" applyNumberFormat="1" applyFont="1" applyFill="1" applyAlignment="1">
      <alignment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3" fillId="0" borderId="0" xfId="178" applyFont="1" applyAlignment="1">
      <alignment vertical="center"/>
      <protection/>
    </xf>
    <xf numFmtId="0" fontId="34" fillId="0" borderId="0" xfId="178" applyFont="1" applyFill="1" applyAlignment="1" applyProtection="1">
      <alignment vertical="center"/>
      <protection locked="0"/>
    </xf>
    <xf numFmtId="0" fontId="35" fillId="0" borderId="0" xfId="178" applyFont="1" applyAlignment="1" applyProtection="1">
      <alignment vertical="center"/>
      <protection locked="0"/>
    </xf>
    <xf numFmtId="4" fontId="36" fillId="0" borderId="0" xfId="178" applyNumberFormat="1" applyFont="1" applyBorder="1" applyAlignment="1" applyProtection="1">
      <alignment vertical="center"/>
      <protection locked="0"/>
    </xf>
    <xf numFmtId="0" fontId="35" fillId="0" borderId="0" xfId="178" applyFont="1" applyAlignment="1">
      <alignment vertical="center"/>
      <protection/>
    </xf>
    <xf numFmtId="0" fontId="10" fillId="0" borderId="11" xfId="178" applyFont="1" applyBorder="1" applyAlignment="1">
      <alignment horizontal="center" vertical="center" wrapText="1"/>
      <protection/>
    </xf>
    <xf numFmtId="0" fontId="10" fillId="0" borderId="12" xfId="178" applyFont="1" applyBorder="1" applyAlignment="1">
      <alignment horizontal="center" vertical="center" wrapText="1"/>
      <protection/>
    </xf>
    <xf numFmtId="0" fontId="10" fillId="0" borderId="11" xfId="178" applyFont="1" applyBorder="1" applyAlignment="1">
      <alignment horizontal="center" vertical="center" wrapText="1"/>
      <protection/>
    </xf>
    <xf numFmtId="0" fontId="10" fillId="0" borderId="13" xfId="178" applyFont="1" applyBorder="1" applyAlignment="1">
      <alignment horizontal="center" vertical="center" wrapText="1"/>
      <protection/>
    </xf>
    <xf numFmtId="0" fontId="10" fillId="0" borderId="12" xfId="178" applyFont="1" applyBorder="1" applyAlignment="1">
      <alignment horizontal="center" vertical="center"/>
      <protection/>
    </xf>
    <xf numFmtId="0" fontId="10" fillId="0" borderId="13" xfId="178" applyFont="1" applyBorder="1" applyAlignment="1">
      <alignment horizontal="center" vertical="center"/>
      <protection/>
    </xf>
    <xf numFmtId="0" fontId="37" fillId="0" borderId="14" xfId="204" applyFont="1" applyFill="1" applyBorder="1" applyAlignment="1" applyProtection="1">
      <alignment horizontal="left" vertical="center"/>
      <protection locked="0"/>
    </xf>
    <xf numFmtId="0" fontId="38" fillId="0" borderId="15" xfId="204" applyFont="1" applyFill="1" applyBorder="1" applyAlignment="1" applyProtection="1">
      <alignment horizontal="right" vertical="center"/>
      <protection locked="0"/>
    </xf>
    <xf numFmtId="14" fontId="61" fillId="0" borderId="15" xfId="204" applyNumberFormat="1" applyFont="1" applyFill="1" applyBorder="1" applyAlignment="1" applyProtection="1">
      <alignment horizontal="left" vertical="center"/>
      <protection locked="0"/>
    </xf>
    <xf numFmtId="4" fontId="12" fillId="0" borderId="16" xfId="204" applyNumberFormat="1" applyFont="1" applyFill="1" applyBorder="1" applyAlignment="1" applyProtection="1">
      <alignment horizontal="center" vertical="center" wrapText="1"/>
      <protection locked="0"/>
    </xf>
    <xf numFmtId="4" fontId="12" fillId="0" borderId="0" xfId="204" applyNumberFormat="1" applyFont="1" applyFill="1" applyBorder="1" applyAlignment="1" applyProtection="1">
      <alignment horizontal="center" vertical="center" wrapText="1"/>
      <protection locked="0"/>
    </xf>
    <xf numFmtId="4" fontId="12" fillId="0" borderId="17" xfId="204" applyNumberFormat="1" applyFont="1" applyFill="1" applyBorder="1" applyAlignment="1" applyProtection="1">
      <alignment horizontal="center" vertical="center" wrapText="1"/>
      <protection locked="0"/>
    </xf>
    <xf numFmtId="0" fontId="34" fillId="0" borderId="18" xfId="178" applyFont="1" applyBorder="1" applyAlignment="1">
      <alignment horizontal="center" vertical="center"/>
      <protection/>
    </xf>
    <xf numFmtId="0" fontId="4" fillId="0" borderId="16" xfId="178" applyFont="1" applyBorder="1" applyAlignment="1">
      <alignment horizontal="center" vertical="center"/>
      <protection/>
    </xf>
    <xf numFmtId="0" fontId="40" fillId="0" borderId="14" xfId="178" applyFont="1" applyBorder="1" applyAlignment="1">
      <alignment horizontal="left" vertical="center"/>
      <protection/>
    </xf>
    <xf numFmtId="0" fontId="37" fillId="0" borderId="15" xfId="178" applyFont="1" applyBorder="1" applyAlignment="1">
      <alignment vertical="center"/>
      <protection/>
    </xf>
    <xf numFmtId="0" fontId="40" fillId="0" borderId="15" xfId="204" applyFont="1" applyFill="1" applyBorder="1" applyAlignment="1" applyProtection="1">
      <alignment horizontal="left" vertical="center"/>
      <protection locked="0"/>
    </xf>
    <xf numFmtId="4" fontId="12" fillId="0" borderId="19" xfId="204" applyNumberFormat="1" applyFont="1" applyFill="1" applyBorder="1" applyAlignment="1" applyProtection="1">
      <alignment horizontal="center" vertical="center" wrapText="1"/>
      <protection locked="0"/>
    </xf>
    <xf numFmtId="4" fontId="12" fillId="0" borderId="15" xfId="204" applyNumberFormat="1" applyFont="1" applyFill="1" applyBorder="1" applyAlignment="1" applyProtection="1">
      <alignment horizontal="center" vertical="center" wrapText="1"/>
      <protection locked="0"/>
    </xf>
    <xf numFmtId="4" fontId="12" fillId="0" borderId="20" xfId="204" applyNumberFormat="1" applyFont="1" applyFill="1" applyBorder="1" applyAlignment="1" applyProtection="1">
      <alignment horizontal="center" vertical="center" wrapText="1"/>
      <protection locked="0"/>
    </xf>
    <xf numFmtId="0" fontId="34" fillId="0" borderId="14" xfId="178" applyFont="1" applyBorder="1" applyAlignment="1">
      <alignment horizontal="center" vertical="center"/>
      <protection/>
    </xf>
    <xf numFmtId="0" fontId="4" fillId="0" borderId="21" xfId="178" applyFont="1" applyBorder="1" applyAlignment="1">
      <alignment horizontal="center" vertical="center"/>
      <protection/>
    </xf>
    <xf numFmtId="0" fontId="41" fillId="36" borderId="22" xfId="204" applyFont="1" applyFill="1" applyBorder="1" applyAlignment="1">
      <alignment horizontal="left" vertical="center"/>
      <protection/>
    </xf>
    <xf numFmtId="0" fontId="41" fillId="36" borderId="23" xfId="204" applyFont="1" applyFill="1" applyBorder="1" applyAlignment="1">
      <alignment horizontal="left" vertical="center"/>
      <protection/>
    </xf>
    <xf numFmtId="0" fontId="41" fillId="36" borderId="23" xfId="204" applyFont="1" applyFill="1" applyBorder="1" applyAlignment="1">
      <alignment vertical="center"/>
      <protection/>
    </xf>
    <xf numFmtId="167" fontId="42" fillId="36" borderId="24" xfId="204" applyNumberFormat="1" applyFont="1" applyFill="1" applyBorder="1" applyAlignment="1" applyProtection="1">
      <alignment vertical="center"/>
      <protection/>
    </xf>
    <xf numFmtId="3" fontId="37" fillId="36" borderId="11" xfId="178" applyNumberFormat="1" applyFont="1" applyFill="1" applyBorder="1" applyAlignment="1">
      <alignment vertical="center"/>
      <protection/>
    </xf>
    <xf numFmtId="167" fontId="37" fillId="36" borderId="11" xfId="178" applyNumberFormat="1" applyFont="1" applyFill="1" applyBorder="1" applyAlignment="1">
      <alignment vertical="center"/>
      <protection/>
    </xf>
    <xf numFmtId="3" fontId="37" fillId="0" borderId="0" xfId="178" applyNumberFormat="1" applyFont="1" applyAlignment="1">
      <alignment vertical="center"/>
      <protection/>
    </xf>
    <xf numFmtId="9" fontId="37" fillId="0" borderId="0" xfId="178" applyNumberFormat="1" applyFont="1" applyAlignment="1">
      <alignment vertical="center"/>
      <protection/>
    </xf>
    <xf numFmtId="3" fontId="35" fillId="0" borderId="0" xfId="178" applyNumberFormat="1" applyFont="1" applyAlignment="1">
      <alignment vertical="center"/>
      <protection/>
    </xf>
    <xf numFmtId="0" fontId="4" fillId="31" borderId="25" xfId="178" applyFont="1" applyFill="1" applyBorder="1" applyAlignment="1">
      <alignment horizontal="left" vertical="center"/>
      <protection/>
    </xf>
    <xf numFmtId="0" fontId="4" fillId="31" borderId="15" xfId="178" applyFont="1" applyFill="1" applyBorder="1" applyAlignment="1">
      <alignment horizontal="left" vertical="center"/>
      <protection/>
    </xf>
    <xf numFmtId="0" fontId="41" fillId="31" borderId="15" xfId="204" applyFont="1" applyFill="1" applyBorder="1" applyAlignment="1">
      <alignment vertical="center"/>
      <protection/>
    </xf>
    <xf numFmtId="167" fontId="42" fillId="31" borderId="14" xfId="204" applyNumberFormat="1" applyFont="1" applyFill="1" applyBorder="1" applyAlignment="1" applyProtection="1">
      <alignment vertical="center"/>
      <protection/>
    </xf>
    <xf numFmtId="3" fontId="37" fillId="31" borderId="11" xfId="178" applyNumberFormat="1" applyFont="1" applyFill="1" applyBorder="1" applyAlignment="1">
      <alignment vertical="center"/>
      <protection/>
    </xf>
    <xf numFmtId="167" fontId="37" fillId="31" borderId="11" xfId="178" applyNumberFormat="1" applyFont="1" applyFill="1" applyBorder="1" applyAlignment="1">
      <alignment vertical="center"/>
      <protection/>
    </xf>
    <xf numFmtId="0" fontId="37" fillId="0" borderId="26" xfId="204" applyFont="1" applyFill="1" applyBorder="1" applyAlignment="1">
      <alignment horizontal="left" vertical="center"/>
      <protection/>
    </xf>
    <xf numFmtId="0" fontId="37" fillId="0" borderId="0" xfId="204" applyFont="1" applyFill="1" applyBorder="1" applyAlignment="1">
      <alignment horizontal="left" vertical="center"/>
      <protection/>
    </xf>
    <xf numFmtId="0" fontId="5" fillId="0" borderId="0" xfId="204" applyFont="1" applyFill="1" applyBorder="1" applyAlignment="1">
      <alignment vertical="center"/>
      <protection/>
    </xf>
    <xf numFmtId="167" fontId="43" fillId="0" borderId="27" xfId="204" applyNumberFormat="1" applyFont="1" applyFill="1" applyBorder="1" applyAlignment="1" applyProtection="1">
      <alignment vertical="center"/>
      <protection locked="0"/>
    </xf>
    <xf numFmtId="3" fontId="37" fillId="0" borderId="21" xfId="178" applyNumberFormat="1" applyFont="1" applyBorder="1" applyAlignment="1">
      <alignment vertical="center"/>
      <protection/>
    </xf>
    <xf numFmtId="167" fontId="37" fillId="0" borderId="21" xfId="178" applyNumberFormat="1" applyFont="1" applyBorder="1" applyAlignment="1">
      <alignment vertical="center"/>
      <protection/>
    </xf>
    <xf numFmtId="167" fontId="37" fillId="0" borderId="0" xfId="178" applyNumberFormat="1" applyFont="1" applyAlignment="1">
      <alignment vertical="center"/>
      <protection/>
    </xf>
    <xf numFmtId="0" fontId="5" fillId="0" borderId="0" xfId="178" applyFont="1" applyFill="1" applyBorder="1" applyAlignment="1">
      <alignment vertical="center"/>
      <protection/>
    </xf>
    <xf numFmtId="0" fontId="4" fillId="31" borderId="28" xfId="204" applyFont="1" applyFill="1" applyBorder="1" applyAlignment="1">
      <alignment horizontal="left" vertical="center"/>
      <protection/>
    </xf>
    <xf numFmtId="0" fontId="4" fillId="31" borderId="29" xfId="204" applyFont="1" applyFill="1" applyBorder="1" applyAlignment="1">
      <alignment horizontal="left" vertical="center"/>
      <protection/>
    </xf>
    <xf numFmtId="0" fontId="41" fillId="31" borderId="29" xfId="204" applyFont="1" applyFill="1" applyBorder="1" applyAlignment="1">
      <alignment vertical="center"/>
      <protection/>
    </xf>
    <xf numFmtId="167" fontId="42" fillId="31" borderId="12" xfId="204" applyNumberFormat="1" applyFont="1" applyFill="1" applyBorder="1" applyAlignment="1" applyProtection="1">
      <alignment vertical="center"/>
      <protection/>
    </xf>
    <xf numFmtId="0" fontId="35" fillId="0" borderId="0" xfId="178" applyFont="1" applyAlignment="1">
      <alignment horizontal="center" vertical="center"/>
      <protection/>
    </xf>
    <xf numFmtId="167" fontId="43" fillId="0" borderId="27" xfId="204" applyNumberFormat="1" applyFont="1" applyFill="1" applyBorder="1" applyAlignment="1" applyProtection="1">
      <alignment horizontal="right" vertical="center"/>
      <protection locked="0"/>
    </xf>
    <xf numFmtId="167" fontId="43" fillId="0" borderId="21" xfId="204" applyNumberFormat="1" applyFont="1" applyFill="1" applyBorder="1" applyAlignment="1" applyProtection="1">
      <alignment horizontal="right" vertical="center"/>
      <protection locked="0"/>
    </xf>
    <xf numFmtId="167" fontId="42" fillId="36" borderId="30" xfId="204" applyNumberFormat="1" applyFont="1" applyFill="1" applyBorder="1" applyAlignment="1" applyProtection="1">
      <alignment vertical="center"/>
      <protection/>
    </xf>
    <xf numFmtId="0" fontId="4" fillId="31" borderId="31" xfId="204" applyFont="1" applyFill="1" applyBorder="1" applyAlignment="1">
      <alignment horizontal="left" vertical="center"/>
      <protection/>
    </xf>
    <xf numFmtId="0" fontId="4" fillId="31" borderId="32" xfId="204" applyFont="1" applyFill="1" applyBorder="1" applyAlignment="1">
      <alignment horizontal="left" vertical="center"/>
      <protection/>
    </xf>
    <xf numFmtId="0" fontId="41" fillId="31" borderId="32" xfId="204" applyFont="1" applyFill="1" applyBorder="1" applyAlignment="1">
      <alignment vertical="center"/>
      <protection/>
    </xf>
    <xf numFmtId="167" fontId="42" fillId="31" borderId="33" xfId="204" applyNumberFormat="1" applyFont="1" applyFill="1" applyBorder="1" applyAlignment="1" applyProtection="1">
      <alignment vertical="center"/>
      <protection/>
    </xf>
    <xf numFmtId="0" fontId="37" fillId="37" borderId="26" xfId="204" applyFont="1" applyFill="1" applyBorder="1" applyAlignment="1">
      <alignment horizontal="left" vertical="center"/>
      <protection/>
    </xf>
    <xf numFmtId="0" fontId="37" fillId="37" borderId="0" xfId="204" applyFont="1" applyFill="1" applyBorder="1" applyAlignment="1">
      <alignment horizontal="left" vertical="center"/>
      <protection/>
    </xf>
    <xf numFmtId="0" fontId="5" fillId="37" borderId="0" xfId="204" applyFont="1" applyFill="1" applyBorder="1" applyAlignment="1">
      <alignment vertical="center"/>
      <protection/>
    </xf>
    <xf numFmtId="167" fontId="43" fillId="37" borderId="27" xfId="204" applyNumberFormat="1" applyFont="1" applyFill="1" applyBorder="1" applyAlignment="1" applyProtection="1">
      <alignment vertical="center"/>
      <protection locked="0"/>
    </xf>
    <xf numFmtId="3" fontId="37" fillId="37" borderId="21" xfId="178" applyNumberFormat="1" applyFont="1" applyFill="1" applyBorder="1" applyAlignment="1">
      <alignment vertical="center"/>
      <protection/>
    </xf>
    <xf numFmtId="167" fontId="37" fillId="37" borderId="21" xfId="178" applyNumberFormat="1" applyFont="1" applyFill="1" applyBorder="1" applyAlignment="1">
      <alignment vertical="center"/>
      <protection/>
    </xf>
    <xf numFmtId="0" fontId="37" fillId="0" borderId="22" xfId="204" applyFont="1" applyFill="1" applyBorder="1" applyAlignment="1">
      <alignment horizontal="left" vertical="center"/>
      <protection/>
    </xf>
    <xf numFmtId="0" fontId="37" fillId="0" borderId="23" xfId="204" applyFont="1" applyFill="1" applyBorder="1" applyAlignment="1">
      <alignment horizontal="left" vertical="center"/>
      <protection/>
    </xf>
    <xf numFmtId="0" fontId="5" fillId="0" borderId="23" xfId="204" applyFont="1" applyFill="1" applyBorder="1" applyAlignment="1">
      <alignment vertical="center"/>
      <protection/>
    </xf>
    <xf numFmtId="0" fontId="41" fillId="38" borderId="22" xfId="178" applyFont="1" applyFill="1" applyBorder="1" applyAlignment="1">
      <alignment horizontal="left" vertical="center"/>
      <protection/>
    </xf>
    <xf numFmtId="0" fontId="41" fillId="38" borderId="23" xfId="178" applyFont="1" applyFill="1" applyBorder="1" applyAlignment="1">
      <alignment horizontal="left" vertical="center"/>
      <protection/>
    </xf>
    <xf numFmtId="0" fontId="37" fillId="38" borderId="23" xfId="178" applyFont="1" applyFill="1" applyBorder="1" applyAlignment="1">
      <alignment vertical="center"/>
      <protection/>
    </xf>
    <xf numFmtId="167" fontId="41" fillId="38" borderId="30" xfId="178" applyNumberFormat="1" applyFont="1" applyFill="1" applyBorder="1" applyAlignment="1">
      <alignment vertical="center"/>
      <protection/>
    </xf>
    <xf numFmtId="3" fontId="37" fillId="38" borderId="11" xfId="178" applyNumberFormat="1" applyFont="1" applyFill="1" applyBorder="1" applyAlignment="1">
      <alignment vertical="center"/>
      <protection/>
    </xf>
    <xf numFmtId="167" fontId="37" fillId="38" borderId="11" xfId="178" applyNumberFormat="1" applyFont="1" applyFill="1" applyBorder="1" applyAlignment="1">
      <alignment vertical="center"/>
      <protection/>
    </xf>
    <xf numFmtId="0" fontId="41" fillId="36" borderId="34" xfId="178" applyFont="1" applyFill="1" applyBorder="1" applyAlignment="1">
      <alignment horizontal="left" vertical="center"/>
      <protection/>
    </xf>
    <xf numFmtId="0" fontId="41" fillId="36" borderId="35" xfId="178" applyFont="1" applyFill="1" applyBorder="1" applyAlignment="1">
      <alignment horizontal="left" vertical="center"/>
      <protection/>
    </xf>
    <xf numFmtId="0" fontId="37" fillId="36" borderId="35" xfId="178" applyFont="1" applyFill="1" applyBorder="1" applyAlignment="1">
      <alignment vertical="center"/>
      <protection/>
    </xf>
    <xf numFmtId="167" fontId="41" fillId="36" borderId="30" xfId="178" applyNumberFormat="1" applyFont="1" applyFill="1" applyBorder="1" applyAlignment="1">
      <alignment vertical="center"/>
      <protection/>
    </xf>
    <xf numFmtId="0" fontId="35" fillId="37" borderId="0" xfId="204" applyFont="1" applyFill="1" applyBorder="1" applyAlignment="1">
      <alignment horizontal="left" vertical="center"/>
      <protection/>
    </xf>
    <xf numFmtId="49" fontId="37" fillId="0" borderId="26" xfId="204" applyNumberFormat="1" applyFont="1" applyFill="1" applyBorder="1" applyAlignment="1">
      <alignment horizontal="left" vertical="center"/>
      <protection/>
    </xf>
    <xf numFmtId="0" fontId="37" fillId="0" borderId="0" xfId="178" applyFont="1" applyFill="1" applyBorder="1" applyAlignment="1">
      <alignment horizontal="left" vertical="center"/>
      <protection/>
    </xf>
    <xf numFmtId="0" fontId="5" fillId="0" borderId="0" xfId="178" applyFont="1" applyFill="1" applyBorder="1" applyAlignment="1">
      <alignment horizontal="left" vertical="center"/>
      <protection/>
    </xf>
    <xf numFmtId="0" fontId="37" fillId="0" borderId="26" xfId="178" applyFont="1" applyFill="1" applyBorder="1" applyAlignment="1">
      <alignment horizontal="left" vertical="center"/>
      <protection/>
    </xf>
    <xf numFmtId="0" fontId="37" fillId="10" borderId="34" xfId="178" applyFont="1" applyFill="1" applyBorder="1" applyAlignment="1">
      <alignment horizontal="left" vertical="center"/>
      <protection/>
    </xf>
    <xf numFmtId="0" fontId="41" fillId="38" borderId="35" xfId="204" applyFont="1" applyFill="1" applyBorder="1" applyAlignment="1">
      <alignment horizontal="left" vertical="center"/>
      <protection/>
    </xf>
    <xf numFmtId="0" fontId="37" fillId="38" borderId="35" xfId="204" applyFont="1" applyFill="1" applyBorder="1" applyAlignment="1">
      <alignment vertical="center"/>
      <protection/>
    </xf>
    <xf numFmtId="0" fontId="37" fillId="36" borderId="34" xfId="178" applyFont="1" applyFill="1" applyBorder="1" applyAlignment="1">
      <alignment horizontal="left" vertical="center"/>
      <protection/>
    </xf>
    <xf numFmtId="49" fontId="37" fillId="0" borderId="36" xfId="204" applyNumberFormat="1" applyFont="1" applyFill="1" applyBorder="1" applyAlignment="1">
      <alignment horizontal="left" vertical="center"/>
      <protection/>
    </xf>
    <xf numFmtId="49" fontId="37" fillId="0" borderId="37" xfId="204" applyNumberFormat="1" applyFont="1" applyFill="1" applyBorder="1" applyAlignment="1">
      <alignment horizontal="left" vertical="center"/>
      <protection/>
    </xf>
    <xf numFmtId="0" fontId="5" fillId="0" borderId="38" xfId="204" applyFont="1" applyFill="1" applyBorder="1" applyAlignment="1">
      <alignment horizontal="left" vertical="center"/>
      <protection/>
    </xf>
    <xf numFmtId="167" fontId="43" fillId="0" borderId="39" xfId="204" applyNumberFormat="1" applyFont="1" applyFill="1" applyBorder="1" applyAlignment="1" applyProtection="1">
      <alignment vertical="center"/>
      <protection locked="0"/>
    </xf>
    <xf numFmtId="49" fontId="37" fillId="37" borderId="26" xfId="204" applyNumberFormat="1" applyFont="1" applyFill="1" applyBorder="1" applyAlignment="1">
      <alignment horizontal="left" vertical="center"/>
      <protection/>
    </xf>
    <xf numFmtId="49" fontId="37" fillId="37" borderId="0" xfId="204" applyNumberFormat="1" applyFont="1" applyFill="1" applyBorder="1" applyAlignment="1">
      <alignment horizontal="left" vertical="center"/>
      <protection/>
    </xf>
    <xf numFmtId="0" fontId="5" fillId="37" borderId="0" xfId="204" applyFont="1" applyFill="1" applyBorder="1" applyAlignment="1">
      <alignment horizontal="left" vertical="center"/>
      <protection/>
    </xf>
    <xf numFmtId="49" fontId="37" fillId="0" borderId="40" xfId="204" applyNumberFormat="1" applyFont="1" applyFill="1" applyBorder="1" applyAlignment="1">
      <alignment horizontal="left" vertical="center"/>
      <protection/>
    </xf>
    <xf numFmtId="49" fontId="37" fillId="0" borderId="38" xfId="204" applyNumberFormat="1" applyFont="1" applyFill="1" applyBorder="1" applyAlignment="1">
      <alignment horizontal="left" vertical="center"/>
      <protection/>
    </xf>
    <xf numFmtId="49" fontId="37" fillId="37" borderId="23" xfId="204" applyNumberFormat="1" applyFont="1" applyFill="1" applyBorder="1" applyAlignment="1">
      <alignment horizontal="left" vertical="center"/>
      <protection/>
    </xf>
    <xf numFmtId="0" fontId="41" fillId="36" borderId="35" xfId="204" applyFont="1" applyFill="1" applyBorder="1" applyAlignment="1">
      <alignment horizontal="left" vertical="center"/>
      <protection/>
    </xf>
    <xf numFmtId="0" fontId="37" fillId="36" borderId="35" xfId="204" applyFont="1" applyFill="1" applyBorder="1" applyAlignment="1">
      <alignment vertical="center"/>
      <protection/>
    </xf>
    <xf numFmtId="167" fontId="41" fillId="36" borderId="30" xfId="204" applyNumberFormat="1" applyFont="1" applyFill="1" applyBorder="1" applyAlignment="1">
      <alignment horizontal="right" vertical="center"/>
      <protection/>
    </xf>
    <xf numFmtId="0" fontId="37" fillId="0" borderId="34" xfId="178" applyFont="1" applyFill="1" applyBorder="1" applyAlignment="1">
      <alignment horizontal="left" vertical="center"/>
      <protection/>
    </xf>
    <xf numFmtId="0" fontId="37" fillId="0" borderId="35" xfId="178" applyFont="1" applyFill="1" applyBorder="1" applyAlignment="1">
      <alignment horizontal="left" vertical="center"/>
      <protection/>
    </xf>
    <xf numFmtId="0" fontId="37" fillId="0" borderId="35" xfId="178" applyFont="1" applyFill="1" applyBorder="1" applyAlignment="1">
      <alignment vertical="center"/>
      <protection/>
    </xf>
    <xf numFmtId="167" fontId="43" fillId="0" borderId="30" xfId="178" applyNumberFormat="1" applyFont="1" applyFill="1" applyBorder="1" applyAlignment="1">
      <alignment vertical="center"/>
      <protection/>
    </xf>
    <xf numFmtId="3" fontId="37" fillId="0" borderId="0" xfId="178" applyNumberFormat="1" applyFont="1" applyFill="1" applyAlignment="1">
      <alignment vertical="center"/>
      <protection/>
    </xf>
    <xf numFmtId="9" fontId="37" fillId="0" borderId="0" xfId="178" applyNumberFormat="1" applyFont="1" applyFill="1" applyAlignment="1">
      <alignment vertical="center"/>
      <protection/>
    </xf>
    <xf numFmtId="0" fontId="35" fillId="0" borderId="0" xfId="178" applyFont="1" applyFill="1" applyAlignment="1">
      <alignment vertical="center"/>
      <protection/>
    </xf>
    <xf numFmtId="0" fontId="37" fillId="36" borderId="41" xfId="178" applyFont="1" applyFill="1" applyBorder="1" applyAlignment="1">
      <alignment horizontal="left" vertical="center"/>
      <protection/>
    </xf>
    <xf numFmtId="0" fontId="4" fillId="36" borderId="42" xfId="204" applyFont="1" applyFill="1" applyBorder="1" applyAlignment="1">
      <alignment vertical="center" wrapText="1"/>
      <protection/>
    </xf>
    <xf numFmtId="0" fontId="5" fillId="36" borderId="42" xfId="178" applyFont="1" applyFill="1" applyBorder="1" applyAlignment="1">
      <alignment vertical="center" wrapText="1"/>
      <protection/>
    </xf>
    <xf numFmtId="167" fontId="41" fillId="36" borderId="43" xfId="204" applyNumberFormat="1" applyFont="1" applyFill="1" applyBorder="1" applyAlignment="1" applyProtection="1">
      <alignment vertical="center"/>
      <protection/>
    </xf>
    <xf numFmtId="49" fontId="41" fillId="31" borderId="18" xfId="204" applyNumberFormat="1" applyFont="1" applyFill="1" applyBorder="1" applyAlignment="1">
      <alignment horizontal="left" vertical="center"/>
      <protection/>
    </xf>
    <xf numFmtId="0" fontId="4" fillId="31" borderId="44" xfId="204" applyFont="1" applyFill="1" applyBorder="1" applyAlignment="1">
      <alignment horizontal="left" vertical="center"/>
      <protection/>
    </xf>
    <xf numFmtId="0" fontId="4" fillId="31" borderId="44" xfId="204" applyFont="1" applyFill="1" applyBorder="1" applyAlignment="1">
      <alignment vertical="center"/>
      <protection/>
    </xf>
    <xf numFmtId="167" fontId="42" fillId="31" borderId="18" xfId="178" applyNumberFormat="1" applyFont="1" applyFill="1" applyBorder="1" applyAlignment="1" applyProtection="1">
      <alignment vertical="center"/>
      <protection/>
    </xf>
    <xf numFmtId="3" fontId="37" fillId="31" borderId="21" xfId="178" applyNumberFormat="1" applyFont="1" applyFill="1" applyBorder="1" applyAlignment="1">
      <alignment vertical="center"/>
      <protection/>
    </xf>
    <xf numFmtId="167" fontId="37" fillId="31" borderId="21" xfId="178" applyNumberFormat="1" applyFont="1" applyFill="1" applyBorder="1" applyAlignment="1">
      <alignment vertical="center"/>
      <protection/>
    </xf>
    <xf numFmtId="0" fontId="34" fillId="0" borderId="0" xfId="178" applyFont="1" applyAlignment="1">
      <alignment vertical="center"/>
      <protection/>
    </xf>
    <xf numFmtId="49" fontId="41" fillId="31" borderId="27" xfId="204" applyNumberFormat="1" applyFont="1" applyFill="1" applyBorder="1" applyAlignment="1">
      <alignment horizontal="left" vertical="center"/>
      <protection/>
    </xf>
    <xf numFmtId="0" fontId="4" fillId="31" borderId="0" xfId="204" applyFont="1" applyFill="1" applyBorder="1" applyAlignment="1">
      <alignment horizontal="left" vertical="center"/>
      <protection/>
    </xf>
    <xf numFmtId="0" fontId="4" fillId="31" borderId="0" xfId="178" applyFont="1" applyFill="1" applyBorder="1" applyAlignment="1">
      <alignment vertical="center"/>
      <protection/>
    </xf>
    <xf numFmtId="167" fontId="42" fillId="31" borderId="27" xfId="178" applyNumberFormat="1" applyFont="1" applyFill="1" applyBorder="1" applyAlignment="1" applyProtection="1">
      <alignment vertical="center"/>
      <protection/>
    </xf>
    <xf numFmtId="0" fontId="37" fillId="36" borderId="27" xfId="178" applyFont="1" applyFill="1" applyBorder="1" applyAlignment="1">
      <alignment horizontal="left" vertical="center"/>
      <protection/>
    </xf>
    <xf numFmtId="0" fontId="4" fillId="36" borderId="0" xfId="204" applyFont="1" applyFill="1" applyBorder="1" applyAlignment="1">
      <alignment vertical="center" wrapText="1"/>
      <protection/>
    </xf>
    <xf numFmtId="0" fontId="5" fillId="36" borderId="0" xfId="178" applyFont="1" applyFill="1" applyBorder="1" applyAlignment="1">
      <alignment vertical="center" wrapText="1"/>
      <protection/>
    </xf>
    <xf numFmtId="167" fontId="41" fillId="36" borderId="27" xfId="204" applyNumberFormat="1" applyFont="1" applyFill="1" applyBorder="1" applyAlignment="1" applyProtection="1">
      <alignment vertical="center"/>
      <protection/>
    </xf>
    <xf numFmtId="3" fontId="37" fillId="36" borderId="21" xfId="178" applyNumberFormat="1" applyFont="1" applyFill="1" applyBorder="1" applyAlignment="1">
      <alignment vertical="center"/>
      <protection/>
    </xf>
    <xf numFmtId="167" fontId="37" fillId="36" borderId="21" xfId="178" applyNumberFormat="1" applyFont="1" applyFill="1" applyBorder="1" applyAlignment="1">
      <alignment vertical="center"/>
      <protection/>
    </xf>
    <xf numFmtId="0" fontId="4" fillId="31" borderId="0" xfId="204" applyFont="1" applyFill="1" applyBorder="1" applyAlignment="1">
      <alignment vertical="center"/>
      <protection/>
    </xf>
    <xf numFmtId="167" fontId="42" fillId="31" borderId="27" xfId="178" applyNumberFormat="1" applyFont="1" applyFill="1" applyBorder="1" applyAlignment="1" applyProtection="1">
      <alignment horizontal="right" vertical="center"/>
      <protection/>
    </xf>
    <xf numFmtId="0" fontId="35" fillId="0" borderId="0" xfId="178" applyFont="1" applyBorder="1" applyAlignment="1">
      <alignment vertical="center"/>
      <protection/>
    </xf>
    <xf numFmtId="49" fontId="41" fillId="31" borderId="45" xfId="204" applyNumberFormat="1" applyFont="1" applyFill="1" applyBorder="1" applyAlignment="1">
      <alignment horizontal="left" vertical="center"/>
      <protection/>
    </xf>
    <xf numFmtId="0" fontId="4" fillId="31" borderId="23" xfId="204" applyFont="1" applyFill="1" applyBorder="1" applyAlignment="1">
      <alignment horizontal="left" vertical="center"/>
      <protection/>
    </xf>
    <xf numFmtId="0" fontId="4" fillId="31" borderId="23" xfId="178" applyFont="1" applyFill="1" applyBorder="1" applyAlignment="1">
      <alignment vertical="center"/>
      <protection/>
    </xf>
    <xf numFmtId="167" fontId="42" fillId="31" borderId="45" xfId="178" applyNumberFormat="1" applyFont="1" applyFill="1" applyBorder="1" applyAlignment="1" applyProtection="1">
      <alignment vertical="center"/>
      <protection/>
    </xf>
    <xf numFmtId="3" fontId="37" fillId="31" borderId="19" xfId="178" applyNumberFormat="1" applyFont="1" applyFill="1" applyBorder="1" applyAlignment="1">
      <alignment vertical="center"/>
      <protection/>
    </xf>
    <xf numFmtId="167" fontId="37" fillId="31" borderId="19" xfId="178" applyNumberFormat="1" applyFont="1" applyFill="1" applyBorder="1" applyAlignment="1">
      <alignment vertical="center"/>
      <protection/>
    </xf>
    <xf numFmtId="0" fontId="37" fillId="0" borderId="0" xfId="178" applyFont="1" applyAlignment="1">
      <alignment vertical="center"/>
      <protection/>
    </xf>
    <xf numFmtId="3" fontId="35" fillId="0" borderId="0" xfId="178" applyNumberFormat="1" applyFont="1" applyBorder="1" applyAlignment="1">
      <alignment vertical="center"/>
      <protection/>
    </xf>
    <xf numFmtId="10" fontId="35" fillId="0" borderId="0" xfId="178" applyNumberFormat="1" applyFont="1" applyAlignment="1">
      <alignment vertical="center"/>
      <protection/>
    </xf>
    <xf numFmtId="9" fontId="35" fillId="0" borderId="0" xfId="178" applyNumberFormat="1" applyFont="1" applyAlignment="1">
      <alignment vertical="center"/>
      <protection/>
    </xf>
    <xf numFmtId="4" fontId="35" fillId="0" borderId="0" xfId="178" applyNumberFormat="1" applyFont="1" applyAlignment="1">
      <alignment vertical="center"/>
      <protection/>
    </xf>
    <xf numFmtId="4" fontId="35" fillId="0" borderId="0" xfId="178" applyNumberFormat="1" applyFont="1" applyBorder="1" applyAlignment="1">
      <alignment vertical="center"/>
      <protection/>
    </xf>
    <xf numFmtId="4" fontId="43" fillId="0" borderId="0" xfId="178" applyNumberFormat="1" applyFont="1" applyBorder="1" applyAlignment="1">
      <alignment vertical="center"/>
      <protection/>
    </xf>
    <xf numFmtId="3" fontId="42" fillId="39" borderId="23" xfId="204" applyNumberFormat="1" applyFont="1" applyFill="1" applyBorder="1" applyAlignment="1" applyProtection="1">
      <alignment vertical="center"/>
      <protection/>
    </xf>
    <xf numFmtId="3" fontId="42" fillId="39" borderId="46" xfId="204" applyNumberFormat="1" applyFont="1" applyFill="1" applyBorder="1" applyAlignment="1" applyProtection="1">
      <alignment vertical="center"/>
      <protection/>
    </xf>
    <xf numFmtId="3" fontId="42" fillId="31" borderId="15" xfId="204" applyNumberFormat="1" applyFont="1" applyFill="1" applyBorder="1" applyAlignment="1" applyProtection="1">
      <alignment vertical="center"/>
      <protection/>
    </xf>
    <xf numFmtId="3" fontId="42" fillId="31" borderId="47" xfId="204" applyNumberFormat="1" applyFont="1" applyFill="1" applyBorder="1" applyAlignment="1" applyProtection="1">
      <alignment vertical="center"/>
      <protection/>
    </xf>
    <xf numFmtId="3" fontId="43" fillId="0" borderId="0" xfId="204" applyNumberFormat="1" applyFont="1" applyFill="1" applyBorder="1" applyAlignment="1" applyProtection="1">
      <alignment vertical="center"/>
      <protection locked="0"/>
    </xf>
    <xf numFmtId="3" fontId="42" fillId="31" borderId="29" xfId="204" applyNumberFormat="1" applyFont="1" applyFill="1" applyBorder="1" applyAlignment="1" applyProtection="1">
      <alignment vertical="center"/>
      <protection/>
    </xf>
    <xf numFmtId="3" fontId="42" fillId="31" borderId="48" xfId="204" applyNumberFormat="1" applyFont="1" applyFill="1" applyBorder="1" applyAlignment="1" applyProtection="1">
      <alignment vertical="center"/>
      <protection/>
    </xf>
    <xf numFmtId="3" fontId="42" fillId="39" borderId="35" xfId="204" applyNumberFormat="1" applyFont="1" applyFill="1" applyBorder="1" applyAlignment="1" applyProtection="1">
      <alignment vertical="center"/>
      <protection/>
    </xf>
    <xf numFmtId="3" fontId="42" fillId="39" borderId="49" xfId="204" applyNumberFormat="1" applyFont="1" applyFill="1" applyBorder="1" applyAlignment="1" applyProtection="1">
      <alignment vertical="center"/>
      <protection/>
    </xf>
    <xf numFmtId="3" fontId="42" fillId="31" borderId="32" xfId="204" applyNumberFormat="1" applyFont="1" applyFill="1" applyBorder="1" applyAlignment="1" applyProtection="1">
      <alignment vertical="center"/>
      <protection/>
    </xf>
    <xf numFmtId="3" fontId="43" fillId="40" borderId="0" xfId="204" applyNumberFormat="1" applyFont="1" applyFill="1" applyBorder="1" applyAlignment="1" applyProtection="1">
      <alignment vertical="center"/>
      <protection locked="0"/>
    </xf>
    <xf numFmtId="3" fontId="41" fillId="38" borderId="35" xfId="178" applyNumberFormat="1" applyFont="1" applyFill="1" applyBorder="1" applyAlignment="1">
      <alignment vertical="center"/>
      <protection/>
    </xf>
    <xf numFmtId="3" fontId="41" fillId="38" borderId="49" xfId="178" applyNumberFormat="1" applyFont="1" applyFill="1" applyBorder="1" applyAlignment="1">
      <alignment vertical="center"/>
      <protection/>
    </xf>
    <xf numFmtId="3" fontId="41" fillId="39" borderId="35" xfId="178" applyNumberFormat="1" applyFont="1" applyFill="1" applyBorder="1" applyAlignment="1">
      <alignment vertical="center"/>
      <protection/>
    </xf>
    <xf numFmtId="3" fontId="41" fillId="39" borderId="49" xfId="178" applyNumberFormat="1" applyFont="1" applyFill="1" applyBorder="1" applyAlignment="1">
      <alignment vertical="center"/>
      <protection/>
    </xf>
    <xf numFmtId="3" fontId="43" fillId="0" borderId="38" xfId="204" applyNumberFormat="1" applyFont="1" applyFill="1" applyBorder="1" applyAlignment="1" applyProtection="1">
      <alignment vertical="center"/>
      <protection locked="0"/>
    </xf>
    <xf numFmtId="3" fontId="43" fillId="0" borderId="50" xfId="204" applyNumberFormat="1" applyFont="1" applyFill="1" applyBorder="1" applyAlignment="1" applyProtection="1">
      <alignment vertical="center"/>
      <protection locked="0"/>
    </xf>
    <xf numFmtId="3" fontId="41" fillId="39" borderId="35" xfId="204" applyNumberFormat="1" applyFont="1" applyFill="1" applyBorder="1" applyAlignment="1">
      <alignment horizontal="right" vertical="center"/>
      <protection/>
    </xf>
    <xf numFmtId="3" fontId="37" fillId="0" borderId="35" xfId="178" applyNumberFormat="1" applyFont="1" applyFill="1" applyBorder="1" applyAlignment="1">
      <alignment vertical="center"/>
      <protection/>
    </xf>
    <xf numFmtId="3" fontId="43" fillId="0" borderId="49" xfId="178" applyNumberFormat="1" applyFont="1" applyFill="1" applyBorder="1" applyAlignment="1">
      <alignment vertical="center"/>
      <protection/>
    </xf>
    <xf numFmtId="3" fontId="42" fillId="36" borderId="0" xfId="204" applyNumberFormat="1" applyFont="1" applyFill="1" applyBorder="1" applyAlignment="1" applyProtection="1">
      <alignment vertical="center"/>
      <protection/>
    </xf>
    <xf numFmtId="3" fontId="41" fillId="36" borderId="51" xfId="204" applyNumberFormat="1" applyFont="1" applyFill="1" applyBorder="1" applyAlignment="1" applyProtection="1">
      <alignment vertical="center"/>
      <protection/>
    </xf>
    <xf numFmtId="3" fontId="42" fillId="31" borderId="0" xfId="178" applyNumberFormat="1" applyFont="1" applyFill="1" applyBorder="1" applyAlignment="1" applyProtection="1">
      <alignment vertical="center"/>
      <protection/>
    </xf>
    <xf numFmtId="3" fontId="42" fillId="31" borderId="52" xfId="178" applyNumberFormat="1" applyFont="1" applyFill="1" applyBorder="1" applyAlignment="1" applyProtection="1">
      <alignment vertical="center"/>
      <protection/>
    </xf>
    <xf numFmtId="3" fontId="42" fillId="36" borderId="52" xfId="204" applyNumberFormat="1" applyFont="1" applyFill="1" applyBorder="1" applyAlignment="1" applyProtection="1">
      <alignment vertical="center"/>
      <protection/>
    </xf>
    <xf numFmtId="3" fontId="42" fillId="31" borderId="53" xfId="178" applyNumberFormat="1" applyFont="1" applyFill="1" applyBorder="1" applyAlignment="1" applyProtection="1">
      <alignment vertical="center"/>
      <protection/>
    </xf>
    <xf numFmtId="3" fontId="42" fillId="31" borderId="54" xfId="178" applyNumberFormat="1" applyFont="1" applyFill="1" applyBorder="1" applyAlignment="1" applyProtection="1">
      <alignment vertical="center"/>
      <protection/>
    </xf>
    <xf numFmtId="3" fontId="42" fillId="31" borderId="55" xfId="178" applyNumberFormat="1" applyFont="1" applyFill="1" applyBorder="1" applyAlignment="1" applyProtection="1">
      <alignment vertical="center"/>
      <protection/>
    </xf>
    <xf numFmtId="3" fontId="41" fillId="36" borderId="55" xfId="204" applyNumberFormat="1" applyFont="1" applyFill="1" applyBorder="1" applyAlignment="1" applyProtection="1">
      <alignment vertical="center"/>
      <protection/>
    </xf>
    <xf numFmtId="3" fontId="42" fillId="39" borderId="46" xfId="204" applyNumberFormat="1" applyFont="1" applyFill="1" applyBorder="1" applyAlignment="1" applyProtection="1">
      <alignment vertical="center"/>
      <protection/>
    </xf>
    <xf numFmtId="3" fontId="42" fillId="31" borderId="47" xfId="204" applyNumberFormat="1" applyFont="1" applyFill="1" applyBorder="1" applyAlignment="1" applyProtection="1">
      <alignment vertical="center"/>
      <protection/>
    </xf>
    <xf numFmtId="3" fontId="43" fillId="0" borderId="0" xfId="204" applyNumberFormat="1" applyFont="1" applyFill="1" applyBorder="1" applyAlignment="1" applyProtection="1">
      <alignment vertical="center"/>
      <protection locked="0"/>
    </xf>
    <xf numFmtId="3" fontId="42" fillId="31" borderId="29" xfId="204" applyNumberFormat="1" applyFont="1" applyFill="1" applyBorder="1" applyAlignment="1" applyProtection="1">
      <alignment vertical="center"/>
      <protection/>
    </xf>
    <xf numFmtId="3" fontId="42" fillId="31" borderId="48" xfId="204" applyNumberFormat="1" applyFont="1" applyFill="1" applyBorder="1" applyAlignment="1" applyProtection="1">
      <alignment vertical="center"/>
      <protection/>
    </xf>
    <xf numFmtId="3" fontId="42" fillId="39" borderId="49" xfId="204" applyNumberFormat="1" applyFont="1" applyFill="1" applyBorder="1" applyAlignment="1" applyProtection="1">
      <alignment vertical="center"/>
      <protection/>
    </xf>
    <xf numFmtId="3" fontId="42" fillId="31" borderId="32" xfId="204" applyNumberFormat="1" applyFont="1" applyFill="1" applyBorder="1" applyAlignment="1" applyProtection="1">
      <alignment vertical="center"/>
      <protection/>
    </xf>
    <xf numFmtId="3" fontId="43" fillId="40" borderId="0" xfId="204" applyNumberFormat="1" applyFont="1" applyFill="1" applyBorder="1" applyAlignment="1" applyProtection="1">
      <alignment vertical="center"/>
      <protection locked="0"/>
    </xf>
    <xf numFmtId="3" fontId="41" fillId="38" borderId="35" xfId="178" applyNumberFormat="1" applyFont="1" applyFill="1" applyBorder="1" applyAlignment="1">
      <alignment vertical="center"/>
      <protection/>
    </xf>
    <xf numFmtId="3" fontId="41" fillId="38" borderId="49" xfId="178" applyNumberFormat="1" applyFont="1" applyFill="1" applyBorder="1" applyAlignment="1">
      <alignment vertical="center"/>
      <protection/>
    </xf>
    <xf numFmtId="3" fontId="41" fillId="39" borderId="49" xfId="178" applyNumberFormat="1" applyFont="1" applyFill="1" applyBorder="1" applyAlignment="1">
      <alignment vertical="center"/>
      <protection/>
    </xf>
    <xf numFmtId="3" fontId="43" fillId="0" borderId="50" xfId="204" applyNumberFormat="1" applyFont="1" applyFill="1" applyBorder="1" applyAlignment="1" applyProtection="1">
      <alignment vertical="center"/>
      <protection locked="0"/>
    </xf>
    <xf numFmtId="3" fontId="41" fillId="39" borderId="35" xfId="204" applyNumberFormat="1" applyFont="1" applyFill="1" applyBorder="1" applyAlignment="1">
      <alignment horizontal="right" vertical="center"/>
      <protection/>
    </xf>
    <xf numFmtId="3" fontId="43" fillId="0" borderId="49" xfId="178" applyNumberFormat="1" applyFont="1" applyFill="1" applyBorder="1" applyAlignment="1">
      <alignment vertical="center"/>
      <protection/>
    </xf>
    <xf numFmtId="3" fontId="41" fillId="36" borderId="51" xfId="204" applyNumberFormat="1" applyFont="1" applyFill="1" applyBorder="1" applyAlignment="1" applyProtection="1">
      <alignment vertical="center"/>
      <protection/>
    </xf>
    <xf numFmtId="3" fontId="42" fillId="31" borderId="44" xfId="178" applyNumberFormat="1" applyFont="1" applyFill="1" applyBorder="1" applyAlignment="1" applyProtection="1">
      <alignment vertical="center"/>
      <protection/>
    </xf>
    <xf numFmtId="3" fontId="42" fillId="31" borderId="0" xfId="178" applyNumberFormat="1" applyFont="1" applyFill="1" applyBorder="1" applyAlignment="1" applyProtection="1">
      <alignment vertical="center"/>
      <protection/>
    </xf>
    <xf numFmtId="3" fontId="42" fillId="31" borderId="52" xfId="178" applyNumberFormat="1" applyFont="1" applyFill="1" applyBorder="1" applyAlignment="1" applyProtection="1">
      <alignment vertical="center"/>
      <protection/>
    </xf>
    <xf numFmtId="3" fontId="42" fillId="31" borderId="56" xfId="178" applyNumberFormat="1" applyFont="1" applyFill="1" applyBorder="1" applyAlignment="1" applyProtection="1">
      <alignment vertical="center"/>
      <protection/>
    </xf>
    <xf numFmtId="3" fontId="41" fillId="36" borderId="56" xfId="204" applyNumberFormat="1" applyFont="1" applyFill="1" applyBorder="1" applyAlignment="1" applyProtection="1">
      <alignment vertical="center"/>
      <protection/>
    </xf>
    <xf numFmtId="3" fontId="42" fillId="31" borderId="57" xfId="178" applyNumberFormat="1" applyFont="1" applyFill="1" applyBorder="1" applyAlignment="1" applyProtection="1">
      <alignment vertical="center"/>
      <protection/>
    </xf>
  </cellXfs>
  <cellStyles count="19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rõhk1 2" xfId="21"/>
    <cellStyle name="20% – rõhk1 2 2" xfId="22"/>
    <cellStyle name="20% – rõhk1 3" xfId="23"/>
    <cellStyle name="20% – rõhk1 4" xfId="24"/>
    <cellStyle name="20% – rõhk1 5" xfId="25"/>
    <cellStyle name="20% – rõhk1 6" xfId="26"/>
    <cellStyle name="20% – rõhk1 7" xfId="27"/>
    <cellStyle name="20% – rõhk1 8" xfId="28"/>
    <cellStyle name="20% – rõhk2 2" xfId="29"/>
    <cellStyle name="20% – rõhk2 2 2" xfId="30"/>
    <cellStyle name="20% – rõhk2 3" xfId="31"/>
    <cellStyle name="20% – rõhk2 4" xfId="32"/>
    <cellStyle name="20% – rõhk2 5" xfId="33"/>
    <cellStyle name="20% – rõhk2 6" xfId="34"/>
    <cellStyle name="20% – rõhk2 7" xfId="35"/>
    <cellStyle name="20% – rõhk2 8" xfId="36"/>
    <cellStyle name="20% – rõhk3 2" xfId="37"/>
    <cellStyle name="20% – rõhk3 2 2" xfId="38"/>
    <cellStyle name="20% – rõhk3 3" xfId="39"/>
    <cellStyle name="20% – rõhk3 4" xfId="40"/>
    <cellStyle name="20% – rõhk3 5" xfId="41"/>
    <cellStyle name="20% – rõhk3 6" xfId="42"/>
    <cellStyle name="20% – rõhk3 7" xfId="43"/>
    <cellStyle name="20% – rõhk3 8" xfId="44"/>
    <cellStyle name="20% – rõhk4 2" xfId="45"/>
    <cellStyle name="20% – rõhk4 2 2" xfId="46"/>
    <cellStyle name="20% – rõhk4 3" xfId="47"/>
    <cellStyle name="20% – rõhk4 4" xfId="48"/>
    <cellStyle name="20% – rõhk4 5" xfId="49"/>
    <cellStyle name="20% – rõhk4 6" xfId="50"/>
    <cellStyle name="20% – rõhk4 7" xfId="51"/>
    <cellStyle name="20% – rõhk4 8" xfId="52"/>
    <cellStyle name="20% – rõhk5 2" xfId="53"/>
    <cellStyle name="20% – rõhk5 2 2" xfId="54"/>
    <cellStyle name="20% – rõhk5 3" xfId="55"/>
    <cellStyle name="20% – rõhk5 4" xfId="56"/>
    <cellStyle name="20% – rõhk5 5" xfId="57"/>
    <cellStyle name="20% – rõhk5 6" xfId="58"/>
    <cellStyle name="20% – rõhk5 7" xfId="59"/>
    <cellStyle name="20% – rõhk5 8" xfId="60"/>
    <cellStyle name="20% – rõhk6 2" xfId="61"/>
    <cellStyle name="20% – rõhk6 2 2" xfId="62"/>
    <cellStyle name="20% – rõhk6 3" xfId="63"/>
    <cellStyle name="20% – rõhk6 4" xfId="64"/>
    <cellStyle name="20% – rõhk6 5" xfId="65"/>
    <cellStyle name="20% – rõhk6 6" xfId="66"/>
    <cellStyle name="20% – rõhk6 7" xfId="67"/>
    <cellStyle name="20% – rõhk6 8" xfId="68"/>
    <cellStyle name="40% - Accent1" xfId="69"/>
    <cellStyle name="40% - Accent2" xfId="70"/>
    <cellStyle name="40% - Accent3" xfId="71"/>
    <cellStyle name="40% - Accent4" xfId="72"/>
    <cellStyle name="40% - Accent5" xfId="73"/>
    <cellStyle name="40% - Accent6" xfId="74"/>
    <cellStyle name="40% – rõhk1 2" xfId="75"/>
    <cellStyle name="40% – rõhk1 2 2" xfId="76"/>
    <cellStyle name="40% – rõhk1 3" xfId="77"/>
    <cellStyle name="40% – rõhk1 4" xfId="78"/>
    <cellStyle name="40% – rõhk1 5" xfId="79"/>
    <cellStyle name="40% – rõhk1 6" xfId="80"/>
    <cellStyle name="40% – rõhk1 7" xfId="81"/>
    <cellStyle name="40% – rõhk1 8" xfId="82"/>
    <cellStyle name="40% – rõhk2 2" xfId="83"/>
    <cellStyle name="40% – rõhk2 2 2" xfId="84"/>
    <cellStyle name="40% – rõhk2 3" xfId="85"/>
    <cellStyle name="40% – rõhk2 4" xfId="86"/>
    <cellStyle name="40% – rõhk2 5" xfId="87"/>
    <cellStyle name="40% – rõhk2 6" xfId="88"/>
    <cellStyle name="40% – rõhk2 7" xfId="89"/>
    <cellStyle name="40% – rõhk2 8" xfId="90"/>
    <cellStyle name="40% – rõhk3 2" xfId="91"/>
    <cellStyle name="40% – rõhk3 2 2" xfId="92"/>
    <cellStyle name="40% – rõhk3 3" xfId="93"/>
    <cellStyle name="40% – rõhk3 4" xfId="94"/>
    <cellStyle name="40% – rõhk3 5" xfId="95"/>
    <cellStyle name="40% – rõhk3 6" xfId="96"/>
    <cellStyle name="40% – rõhk3 7" xfId="97"/>
    <cellStyle name="40% – rõhk3 8" xfId="98"/>
    <cellStyle name="40% – rõhk4 2" xfId="99"/>
    <cellStyle name="40% – rõhk4 2 2" xfId="100"/>
    <cellStyle name="40% – rõhk4 3" xfId="101"/>
    <cellStyle name="40% – rõhk4 4" xfId="102"/>
    <cellStyle name="40% – rõhk4 5" xfId="103"/>
    <cellStyle name="40% – rõhk4 6" xfId="104"/>
    <cellStyle name="40% – rõhk4 7" xfId="105"/>
    <cellStyle name="40% – rõhk4 8" xfId="106"/>
    <cellStyle name="40% – rõhk5 2" xfId="107"/>
    <cellStyle name="40% – rõhk5 2 2" xfId="108"/>
    <cellStyle name="40% – rõhk5 3" xfId="109"/>
    <cellStyle name="40% – rõhk5 4" xfId="110"/>
    <cellStyle name="40% – rõhk5 5" xfId="111"/>
    <cellStyle name="40% – rõhk5 6" xfId="112"/>
    <cellStyle name="40% – rõhk5 7" xfId="113"/>
    <cellStyle name="40% – rõhk5 8" xfId="114"/>
    <cellStyle name="40% – rõhk6 2" xfId="115"/>
    <cellStyle name="40% – rõhk6 2 2" xfId="116"/>
    <cellStyle name="40% – rõhk6 3" xfId="117"/>
    <cellStyle name="40% – rõhk6 4" xfId="118"/>
    <cellStyle name="40% – rõhk6 5" xfId="119"/>
    <cellStyle name="40% – rõhk6 6" xfId="120"/>
    <cellStyle name="40% – rõhk6 7" xfId="121"/>
    <cellStyle name="40% – rõhk6 8" xfId="122"/>
    <cellStyle name="60% - Accent1" xfId="123"/>
    <cellStyle name="60% - Accent2" xfId="124"/>
    <cellStyle name="60% - Accent3" xfId="125"/>
    <cellStyle name="60% - Accent4" xfId="126"/>
    <cellStyle name="60% - Accent5" xfId="127"/>
    <cellStyle name="60% - Accent6" xfId="128"/>
    <cellStyle name="Accent1" xfId="129"/>
    <cellStyle name="Accent2" xfId="130"/>
    <cellStyle name="Accent3" xfId="131"/>
    <cellStyle name="Accent4" xfId="132"/>
    <cellStyle name="Accent5" xfId="133"/>
    <cellStyle name="Accent6" xfId="134"/>
    <cellStyle name="Bad" xfId="135"/>
    <cellStyle name="Calculation" xfId="136"/>
    <cellStyle name="Check Cell" xfId="137"/>
    <cellStyle name="Comma" xfId="138"/>
    <cellStyle name="Comma [0]" xfId="139"/>
    <cellStyle name="Comma 2" xfId="140"/>
    <cellStyle name="Comma 3" xfId="141"/>
    <cellStyle name="Currency" xfId="142"/>
    <cellStyle name="Currency [0]" xfId="143"/>
    <cellStyle name="Explanatory Text" xfId="144"/>
    <cellStyle name="Good" xfId="145"/>
    <cellStyle name="Heading 1" xfId="146"/>
    <cellStyle name="Heading 2" xfId="147"/>
    <cellStyle name="Heading 3" xfId="148"/>
    <cellStyle name="Heading 4" xfId="149"/>
    <cellStyle name="Input" xfId="150"/>
    <cellStyle name="Linked Cell" xfId="151"/>
    <cellStyle name="Märkus 2" xfId="152"/>
    <cellStyle name="Märkus 2 2" xfId="153"/>
    <cellStyle name="Märkus 3" xfId="154"/>
    <cellStyle name="Märkus 3 2" xfId="155"/>
    <cellStyle name="Märkus 4" xfId="156"/>
    <cellStyle name="Märkus 5" xfId="157"/>
    <cellStyle name="Märkus 6" xfId="158"/>
    <cellStyle name="Märkus 7" xfId="159"/>
    <cellStyle name="Märkus 8" xfId="160"/>
    <cellStyle name="Neutral" xfId="161"/>
    <cellStyle name="Normaallaad 10" xfId="162"/>
    <cellStyle name="Normaallaad 2" xfId="163"/>
    <cellStyle name="Normaallaad 2 2" xfId="164"/>
    <cellStyle name="Normaallaad 2 3" xfId="165"/>
    <cellStyle name="Normaallaad 3" xfId="166"/>
    <cellStyle name="Normaallaad 3 2" xfId="167"/>
    <cellStyle name="Normaallaad 4" xfId="168"/>
    <cellStyle name="Normaallaad 4 2" xfId="169"/>
    <cellStyle name="Normaallaad 5" xfId="170"/>
    <cellStyle name="Normaallaad 6" xfId="171"/>
    <cellStyle name="Normaallaad 7" xfId="172"/>
    <cellStyle name="Normaallaad 8" xfId="173"/>
    <cellStyle name="Normaallaad 9" xfId="174"/>
    <cellStyle name="Normaallaad_2005 Ikv lisad" xfId="175"/>
    <cellStyle name="Normaallaad_Leht1" xfId="176"/>
    <cellStyle name="Normal 13" xfId="177"/>
    <cellStyle name="Normal 2" xfId="178"/>
    <cellStyle name="Normal 2 2" xfId="179"/>
    <cellStyle name="Normal 2 2 2" xfId="180"/>
    <cellStyle name="Normal 2 2 2 2" xfId="181"/>
    <cellStyle name="Normal 2 2 3" xfId="182"/>
    <cellStyle name="Normal 2 3" xfId="183"/>
    <cellStyle name="Normal 2 3 2" xfId="184"/>
    <cellStyle name="Normal 2 4" xfId="185"/>
    <cellStyle name="Normal 2 4 2" xfId="186"/>
    <cellStyle name="Normal 21" xfId="187"/>
    <cellStyle name="Normal 3" xfId="188"/>
    <cellStyle name="Normal 3 2" xfId="189"/>
    <cellStyle name="Normal 3 2 2" xfId="190"/>
    <cellStyle name="Normal 3 3" xfId="191"/>
    <cellStyle name="Normal 3 3 2" xfId="192"/>
    <cellStyle name="Normal 3 4" xfId="193"/>
    <cellStyle name="Normal 4" xfId="194"/>
    <cellStyle name="Normal 4 2" xfId="195"/>
    <cellStyle name="Normal 4 3" xfId="196"/>
    <cellStyle name="Normal 5" xfId="197"/>
    <cellStyle name="Normal 6" xfId="198"/>
    <cellStyle name="Normal 6 2" xfId="199"/>
    <cellStyle name="Normal 6 3" xfId="200"/>
    <cellStyle name="Normal 7" xfId="201"/>
    <cellStyle name="Normal 8" xfId="202"/>
    <cellStyle name="Normal 9" xfId="203"/>
    <cellStyle name="Normal_Sheet1 2" xfId="204"/>
    <cellStyle name="Note" xfId="205"/>
    <cellStyle name="Output" xfId="206"/>
    <cellStyle name="Percent" xfId="207"/>
    <cellStyle name="Percent 2" xfId="208"/>
    <cellStyle name="Percent 3" xfId="209"/>
    <cellStyle name="Title" xfId="210"/>
    <cellStyle name="Total" xfId="211"/>
    <cellStyle name="Warning Text" xfId="2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1"/>
  <sheetViews>
    <sheetView tabSelected="1" zoomScale="90" zoomScaleNormal="90" zoomScalePageLayoutView="0" workbookViewId="0" topLeftCell="A1">
      <selection activeCell="F70" sqref="F70"/>
    </sheetView>
  </sheetViews>
  <sheetFormatPr defaultColWidth="9.140625" defaultRowHeight="12.75"/>
  <cols>
    <col min="1" max="1" width="9.421875" style="234" customWidth="1"/>
    <col min="2" max="2" width="4.8515625" style="98" customWidth="1"/>
    <col min="3" max="3" width="40.7109375" style="98" customWidth="1"/>
    <col min="4" max="4" width="9.421875" style="98" customWidth="1"/>
    <col min="5" max="5" width="9.8515625" style="238" customWidth="1"/>
    <col min="6" max="6" width="9.00390625" style="240" customWidth="1"/>
    <col min="7" max="7" width="7.28125" style="98" customWidth="1"/>
    <col min="8" max="8" width="9.28125" style="98" customWidth="1"/>
    <col min="9" max="9" width="7.28125" style="98" customWidth="1"/>
    <col min="10" max="10" width="10.140625" style="98" customWidth="1"/>
    <col min="11" max="12" width="9.140625" style="98" customWidth="1"/>
    <col min="13" max="13" width="10.28125" style="98" bestFit="1" customWidth="1"/>
    <col min="14" max="14" width="11.140625" style="98" bestFit="1" customWidth="1"/>
    <col min="15" max="16384" width="9.140625" style="98" customWidth="1"/>
  </cols>
  <sheetData>
    <row r="1" spans="1:6" ht="21" customHeight="1">
      <c r="A1" s="94" t="s">
        <v>211</v>
      </c>
      <c r="B1" s="95"/>
      <c r="C1" s="96"/>
      <c r="D1" s="96"/>
      <c r="E1" s="97"/>
      <c r="F1" s="97"/>
    </row>
    <row r="2" spans="1:9" ht="22.5" customHeight="1">
      <c r="A2" s="99" t="s">
        <v>212</v>
      </c>
      <c r="B2" s="99"/>
      <c r="C2" s="100"/>
      <c r="D2" s="101">
        <v>2013</v>
      </c>
      <c r="E2" s="102">
        <v>2014</v>
      </c>
      <c r="F2" s="99"/>
      <c r="G2" s="100"/>
      <c r="H2" s="103" t="s">
        <v>213</v>
      </c>
      <c r="I2" s="104"/>
    </row>
    <row r="3" spans="1:9" ht="16.5" customHeight="1">
      <c r="A3" s="105"/>
      <c r="B3" s="106" t="s">
        <v>214</v>
      </c>
      <c r="C3" s="107">
        <v>41912</v>
      </c>
      <c r="D3" s="108" t="s">
        <v>215</v>
      </c>
      <c r="E3" s="109" t="s">
        <v>216</v>
      </c>
      <c r="F3" s="110" t="s">
        <v>215</v>
      </c>
      <c r="G3" s="111" t="s">
        <v>5</v>
      </c>
      <c r="H3" s="112" t="s">
        <v>217</v>
      </c>
      <c r="I3" s="112" t="s">
        <v>217</v>
      </c>
    </row>
    <row r="4" spans="1:9" ht="15" customHeight="1">
      <c r="A4" s="113" t="s">
        <v>218</v>
      </c>
      <c r="B4" s="114"/>
      <c r="C4" s="115" t="s">
        <v>219</v>
      </c>
      <c r="D4" s="116"/>
      <c r="E4" s="117"/>
      <c r="F4" s="118"/>
      <c r="G4" s="119"/>
      <c r="H4" s="120" t="s">
        <v>220</v>
      </c>
      <c r="I4" s="120" t="s">
        <v>5</v>
      </c>
    </row>
    <row r="5" spans="1:13" ht="15" customHeight="1" thickBot="1">
      <c r="A5" s="121"/>
      <c r="B5" s="122" t="s">
        <v>221</v>
      </c>
      <c r="C5" s="123"/>
      <c r="D5" s="270">
        <v>79377309.06</v>
      </c>
      <c r="E5" s="241">
        <v>105409879.2</v>
      </c>
      <c r="F5" s="242">
        <v>83435393.12</v>
      </c>
      <c r="G5" s="124">
        <f aca="true" t="shared" si="0" ref="G5:G28">F5/E5</f>
        <v>0.791532954531647</v>
      </c>
      <c r="H5" s="125">
        <f>F5-D5</f>
        <v>4058084.0600000024</v>
      </c>
      <c r="I5" s="126">
        <f>H5/D5</f>
        <v>0.051123981249258064</v>
      </c>
      <c r="J5" s="127"/>
      <c r="K5" s="128"/>
      <c r="M5" s="129"/>
    </row>
    <row r="6" spans="1:13" ht="12.75">
      <c r="A6" s="130">
        <v>30</v>
      </c>
      <c r="B6" s="131" t="s">
        <v>222</v>
      </c>
      <c r="C6" s="132"/>
      <c r="D6" s="271">
        <v>41100261.99</v>
      </c>
      <c r="E6" s="243">
        <v>57210100</v>
      </c>
      <c r="F6" s="244">
        <v>44350500.21</v>
      </c>
      <c r="G6" s="133">
        <f t="shared" si="0"/>
        <v>0.7752215117610353</v>
      </c>
      <c r="H6" s="134">
        <f aca="true" t="shared" si="1" ref="H6:H69">F6-D6</f>
        <v>3250238.219999999</v>
      </c>
      <c r="I6" s="135">
        <f aca="true" t="shared" si="2" ref="I6:I69">H6/D6</f>
        <v>0.07908071780152656</v>
      </c>
      <c r="J6" s="127"/>
      <c r="K6" s="128"/>
      <c r="M6" s="129"/>
    </row>
    <row r="7" spans="1:13" ht="12.75">
      <c r="A7" s="136">
        <v>3000</v>
      </c>
      <c r="B7" s="137"/>
      <c r="C7" s="138" t="s">
        <v>223</v>
      </c>
      <c r="D7" s="272">
        <v>40093518</v>
      </c>
      <c r="E7" s="245">
        <v>55700000</v>
      </c>
      <c r="F7" s="245">
        <v>43287655</v>
      </c>
      <c r="G7" s="139">
        <f t="shared" si="0"/>
        <v>0.7771571813285458</v>
      </c>
      <c r="H7" s="140">
        <f t="shared" si="1"/>
        <v>3194137</v>
      </c>
      <c r="I7" s="141">
        <f t="shared" si="2"/>
        <v>0.07966716714656968</v>
      </c>
      <c r="J7" s="127"/>
      <c r="K7" s="142"/>
      <c r="M7" s="129"/>
    </row>
    <row r="8" spans="1:13" ht="12.75">
      <c r="A8" s="136">
        <v>3030</v>
      </c>
      <c r="B8" s="137"/>
      <c r="C8" s="138" t="s">
        <v>224</v>
      </c>
      <c r="D8" s="272">
        <v>423195</v>
      </c>
      <c r="E8" s="245">
        <v>690100</v>
      </c>
      <c r="F8" s="245">
        <v>422524</v>
      </c>
      <c r="G8" s="139">
        <f t="shared" si="0"/>
        <v>0.6122648891465005</v>
      </c>
      <c r="H8" s="140">
        <f t="shared" si="1"/>
        <v>-671</v>
      </c>
      <c r="I8" s="141">
        <f t="shared" si="2"/>
        <v>-0.0015855574853200062</v>
      </c>
      <c r="J8" s="127"/>
      <c r="K8" s="128"/>
      <c r="M8" s="129"/>
    </row>
    <row r="9" spans="1:13" ht="12.75">
      <c r="A9" s="136">
        <v>3044</v>
      </c>
      <c r="B9" s="137"/>
      <c r="C9" s="138" t="s">
        <v>225</v>
      </c>
      <c r="D9" s="272">
        <v>243990.88</v>
      </c>
      <c r="E9" s="245">
        <v>300000</v>
      </c>
      <c r="F9" s="245">
        <v>234596.97</v>
      </c>
      <c r="G9" s="139">
        <f t="shared" si="0"/>
        <v>0.7819899</v>
      </c>
      <c r="H9" s="140">
        <f t="shared" si="1"/>
        <v>-9393.910000000003</v>
      </c>
      <c r="I9" s="141">
        <f t="shared" si="2"/>
        <v>-0.038501070203935506</v>
      </c>
      <c r="J9" s="127"/>
      <c r="K9" s="128"/>
      <c r="M9" s="129"/>
    </row>
    <row r="10" spans="1:13" ht="12.75">
      <c r="A10" s="136">
        <v>3045</v>
      </c>
      <c r="B10" s="137"/>
      <c r="C10" s="138" t="s">
        <v>226</v>
      </c>
      <c r="D10" s="272">
        <v>41846.15</v>
      </c>
      <c r="E10" s="245">
        <v>70000</v>
      </c>
      <c r="F10" s="245">
        <v>79705.61</v>
      </c>
      <c r="G10" s="139">
        <f t="shared" si="0"/>
        <v>1.1386515714285714</v>
      </c>
      <c r="H10" s="140">
        <f t="shared" si="1"/>
        <v>37859.46</v>
      </c>
      <c r="I10" s="141">
        <f t="shared" si="2"/>
        <v>0.9047298258023736</v>
      </c>
      <c r="J10" s="127"/>
      <c r="K10" s="128"/>
      <c r="M10" s="129"/>
    </row>
    <row r="11" spans="1:13" ht="12.75">
      <c r="A11" s="136">
        <v>3047</v>
      </c>
      <c r="B11" s="137"/>
      <c r="C11" s="143" t="s">
        <v>227</v>
      </c>
      <c r="D11" s="272">
        <v>297711.96</v>
      </c>
      <c r="E11" s="245">
        <v>450000</v>
      </c>
      <c r="F11" s="245">
        <v>326018.62999999995</v>
      </c>
      <c r="G11" s="139">
        <f t="shared" si="0"/>
        <v>0.7244858444444443</v>
      </c>
      <c r="H11" s="140">
        <f t="shared" si="1"/>
        <v>28306.669999999925</v>
      </c>
      <c r="I11" s="141">
        <f t="shared" si="2"/>
        <v>0.09508072836576643</v>
      </c>
      <c r="J11" s="127"/>
      <c r="K11" s="128"/>
      <c r="M11" s="129"/>
    </row>
    <row r="12" spans="1:13" ht="12.75">
      <c r="A12" s="144">
        <v>32</v>
      </c>
      <c r="B12" s="145" t="s">
        <v>228</v>
      </c>
      <c r="C12" s="146"/>
      <c r="D12" s="273">
        <v>10579128.540000001</v>
      </c>
      <c r="E12" s="246">
        <v>15024512</v>
      </c>
      <c r="F12" s="246">
        <v>11138217.26</v>
      </c>
      <c r="G12" s="147">
        <f t="shared" si="0"/>
        <v>0.7413363748519752</v>
      </c>
      <c r="H12" s="134">
        <f t="shared" si="1"/>
        <v>559088.7199999988</v>
      </c>
      <c r="I12" s="135">
        <f t="shared" si="2"/>
        <v>0.05284827742531605</v>
      </c>
      <c r="J12" s="127"/>
      <c r="K12" s="128"/>
      <c r="M12" s="129"/>
    </row>
    <row r="13" spans="1:20" s="148" customFormat="1" ht="12.75">
      <c r="A13" s="144" t="s">
        <v>229</v>
      </c>
      <c r="B13" s="145" t="s">
        <v>230</v>
      </c>
      <c r="C13" s="146"/>
      <c r="D13" s="274">
        <v>27332183.36</v>
      </c>
      <c r="E13" s="246">
        <v>32789411.200000003</v>
      </c>
      <c r="F13" s="247">
        <v>27471337.42</v>
      </c>
      <c r="G13" s="147">
        <f t="shared" si="0"/>
        <v>0.8378112449911879</v>
      </c>
      <c r="H13" s="134">
        <f t="shared" si="1"/>
        <v>139154.06000000238</v>
      </c>
      <c r="I13" s="135">
        <f t="shared" si="2"/>
        <v>0.005091216393771566</v>
      </c>
      <c r="J13" s="127"/>
      <c r="K13" s="128"/>
      <c r="L13" s="98"/>
      <c r="M13" s="129"/>
      <c r="N13" s="98"/>
      <c r="O13" s="98"/>
      <c r="P13" s="98"/>
      <c r="Q13" s="98"/>
      <c r="R13" s="98"/>
      <c r="S13" s="98"/>
      <c r="T13" s="98"/>
    </row>
    <row r="14" spans="1:20" s="148" customFormat="1" ht="12.75">
      <c r="A14" s="136" t="s">
        <v>231</v>
      </c>
      <c r="B14" s="137"/>
      <c r="C14" s="138" t="s">
        <v>232</v>
      </c>
      <c r="D14" s="272">
        <v>4416624</v>
      </c>
      <c r="E14" s="245">
        <v>5004825</v>
      </c>
      <c r="F14" s="245">
        <v>5004825</v>
      </c>
      <c r="G14" s="139">
        <f t="shared" si="0"/>
        <v>1</v>
      </c>
      <c r="H14" s="140">
        <f t="shared" si="1"/>
        <v>588201</v>
      </c>
      <c r="I14" s="141">
        <f t="shared" si="2"/>
        <v>0.1331788714638149</v>
      </c>
      <c r="J14" s="127"/>
      <c r="K14" s="128"/>
      <c r="L14" s="98"/>
      <c r="M14" s="129"/>
      <c r="N14" s="98"/>
      <c r="O14" s="98"/>
      <c r="P14" s="98"/>
      <c r="Q14" s="98"/>
      <c r="R14" s="98"/>
      <c r="S14" s="98"/>
      <c r="T14" s="98"/>
    </row>
    <row r="15" spans="1:20" s="148" customFormat="1" ht="12.75">
      <c r="A15" s="136" t="s">
        <v>233</v>
      </c>
      <c r="B15" s="137"/>
      <c r="C15" s="143" t="s">
        <v>234</v>
      </c>
      <c r="D15" s="272">
        <v>15173235</v>
      </c>
      <c r="E15" s="245">
        <v>18922600</v>
      </c>
      <c r="F15" s="245">
        <v>15149286</v>
      </c>
      <c r="G15" s="139">
        <f t="shared" si="0"/>
        <v>0.8005922019172841</v>
      </c>
      <c r="H15" s="140">
        <f t="shared" si="1"/>
        <v>-23949</v>
      </c>
      <c r="I15" s="141">
        <f t="shared" si="2"/>
        <v>-0.0015783713888303976</v>
      </c>
      <c r="J15" s="127"/>
      <c r="K15" s="128"/>
      <c r="L15" s="98"/>
      <c r="M15" s="129"/>
      <c r="N15" s="98"/>
      <c r="O15" s="98"/>
      <c r="P15" s="98"/>
      <c r="Q15" s="98"/>
      <c r="R15" s="98"/>
      <c r="S15" s="98"/>
      <c r="T15" s="98"/>
    </row>
    <row r="16" spans="1:20" s="148" customFormat="1" ht="12.75">
      <c r="A16" s="136" t="s">
        <v>235</v>
      </c>
      <c r="B16" s="137"/>
      <c r="C16" s="143" t="s">
        <v>236</v>
      </c>
      <c r="D16" s="272">
        <v>7742324.36</v>
      </c>
      <c r="E16" s="245">
        <v>8861986.200000001</v>
      </c>
      <c r="F16" s="245">
        <v>7317226.42</v>
      </c>
      <c r="G16" s="139">
        <f t="shared" si="0"/>
        <v>0.8256869571744536</v>
      </c>
      <c r="H16" s="140">
        <f t="shared" si="1"/>
        <v>-425097.9400000004</v>
      </c>
      <c r="I16" s="141">
        <f t="shared" si="2"/>
        <v>-0.054905726011200126</v>
      </c>
      <c r="J16" s="127"/>
      <c r="K16" s="128"/>
      <c r="L16" s="98"/>
      <c r="M16" s="129"/>
      <c r="N16" s="98"/>
      <c r="O16" s="98"/>
      <c r="P16" s="98"/>
      <c r="Q16" s="98"/>
      <c r="R16" s="98"/>
      <c r="S16" s="98"/>
      <c r="T16" s="98"/>
    </row>
    <row r="17" spans="1:20" s="148" customFormat="1" ht="12.75">
      <c r="A17" s="144" t="s">
        <v>237</v>
      </c>
      <c r="B17" s="145" t="s">
        <v>238</v>
      </c>
      <c r="C17" s="146"/>
      <c r="D17" s="274">
        <v>365735.17000000004</v>
      </c>
      <c r="E17" s="246">
        <v>385856</v>
      </c>
      <c r="F17" s="247">
        <v>475338.23</v>
      </c>
      <c r="G17" s="147">
        <f t="shared" si="0"/>
        <v>1.231905762771604</v>
      </c>
      <c r="H17" s="134">
        <f t="shared" si="1"/>
        <v>109603.05999999994</v>
      </c>
      <c r="I17" s="135">
        <f t="shared" si="2"/>
        <v>0.2996787538917844</v>
      </c>
      <c r="J17" s="127"/>
      <c r="K17" s="128"/>
      <c r="L17" s="98"/>
      <c r="M17" s="129"/>
      <c r="N17" s="98"/>
      <c r="O17" s="98"/>
      <c r="P17" s="98"/>
      <c r="Q17" s="98"/>
      <c r="R17" s="98"/>
      <c r="S17" s="98"/>
      <c r="T17" s="98"/>
    </row>
    <row r="18" spans="1:20" s="148" customFormat="1" ht="12.75">
      <c r="A18" s="136" t="s">
        <v>239</v>
      </c>
      <c r="B18" s="137"/>
      <c r="C18" s="138" t="s">
        <v>240</v>
      </c>
      <c r="D18" s="272">
        <v>0</v>
      </c>
      <c r="E18" s="245">
        <v>0</v>
      </c>
      <c r="F18" s="245">
        <v>0</v>
      </c>
      <c r="G18" s="149" t="s">
        <v>241</v>
      </c>
      <c r="H18" s="140">
        <f t="shared" si="1"/>
        <v>0</v>
      </c>
      <c r="I18" s="150" t="s">
        <v>241</v>
      </c>
      <c r="J18" s="127"/>
      <c r="K18" s="128"/>
      <c r="L18" s="98"/>
      <c r="M18" s="129"/>
      <c r="N18" s="98"/>
      <c r="O18" s="98"/>
      <c r="P18" s="98"/>
      <c r="Q18" s="98"/>
      <c r="R18" s="98"/>
      <c r="S18" s="98"/>
      <c r="T18" s="98"/>
    </row>
    <row r="19" spans="1:20" s="148" customFormat="1" ht="12.75">
      <c r="A19" s="136">
        <v>382540</v>
      </c>
      <c r="B19" s="137"/>
      <c r="C19" s="138" t="s">
        <v>242</v>
      </c>
      <c r="D19" s="272">
        <v>125504</v>
      </c>
      <c r="E19" s="245">
        <v>178000</v>
      </c>
      <c r="F19" s="245">
        <v>131503</v>
      </c>
      <c r="G19" s="139">
        <f t="shared" si="0"/>
        <v>0.7387808988764045</v>
      </c>
      <c r="H19" s="140">
        <f t="shared" si="1"/>
        <v>5999</v>
      </c>
      <c r="I19" s="141">
        <f t="shared" si="2"/>
        <v>0.04779927332993371</v>
      </c>
      <c r="J19" s="127"/>
      <c r="K19" s="128"/>
      <c r="L19" s="98"/>
      <c r="M19" s="129"/>
      <c r="N19" s="98"/>
      <c r="O19" s="98"/>
      <c r="P19" s="98"/>
      <c r="Q19" s="98"/>
      <c r="R19" s="98"/>
      <c r="S19" s="98"/>
      <c r="T19" s="98"/>
    </row>
    <row r="20" spans="1:20" s="148" customFormat="1" ht="12.75">
      <c r="A20" s="136">
        <v>3882</v>
      </c>
      <c r="B20" s="137"/>
      <c r="C20" s="138" t="s">
        <v>243</v>
      </c>
      <c r="D20" s="272">
        <v>65395</v>
      </c>
      <c r="E20" s="245">
        <v>10000</v>
      </c>
      <c r="F20" s="245">
        <v>13628</v>
      </c>
      <c r="G20" s="139">
        <f t="shared" si="0"/>
        <v>1.3628</v>
      </c>
      <c r="H20" s="140">
        <f t="shared" si="1"/>
        <v>-51767</v>
      </c>
      <c r="I20" s="141">
        <f t="shared" si="2"/>
        <v>-0.7916048627570915</v>
      </c>
      <c r="J20" s="127"/>
      <c r="K20" s="128"/>
      <c r="L20" s="98"/>
      <c r="M20" s="129"/>
      <c r="N20" s="98"/>
      <c r="O20" s="98"/>
      <c r="P20" s="98"/>
      <c r="Q20" s="98"/>
      <c r="R20" s="98"/>
      <c r="S20" s="98"/>
      <c r="T20" s="98"/>
    </row>
    <row r="21" spans="1:20" s="148" customFormat="1" ht="13.5" thickBot="1">
      <c r="A21" s="136" t="s">
        <v>244</v>
      </c>
      <c r="B21" s="137"/>
      <c r="C21" s="138" t="s">
        <v>245</v>
      </c>
      <c r="D21" s="272">
        <v>174836.17</v>
      </c>
      <c r="E21" s="245">
        <v>197856</v>
      </c>
      <c r="F21" s="245">
        <v>330207.23</v>
      </c>
      <c r="G21" s="139">
        <f t="shared" si="0"/>
        <v>1.6689270479540674</v>
      </c>
      <c r="H21" s="140">
        <f t="shared" si="1"/>
        <v>155371.05999999997</v>
      </c>
      <c r="I21" s="141">
        <f t="shared" si="2"/>
        <v>0.8886665728264349</v>
      </c>
      <c r="J21" s="127"/>
      <c r="K21" s="128"/>
      <c r="L21" s="98"/>
      <c r="M21" s="129"/>
      <c r="N21" s="98"/>
      <c r="O21" s="98"/>
      <c r="P21" s="98"/>
      <c r="Q21" s="98"/>
      <c r="R21" s="98"/>
      <c r="S21" s="98"/>
      <c r="T21" s="98"/>
    </row>
    <row r="22" spans="1:20" s="148" customFormat="1" ht="13.5" thickBot="1">
      <c r="A22" s="121"/>
      <c r="B22" s="122" t="s">
        <v>246</v>
      </c>
      <c r="C22" s="123"/>
      <c r="D22" s="275">
        <v>-68192376.91</v>
      </c>
      <c r="E22" s="248">
        <v>-101364080.19999999</v>
      </c>
      <c r="F22" s="249">
        <v>-71075076.11999999</v>
      </c>
      <c r="G22" s="151">
        <f t="shared" si="0"/>
        <v>0.7011860215153415</v>
      </c>
      <c r="H22" s="125">
        <f t="shared" si="1"/>
        <v>-2882699.2099999934</v>
      </c>
      <c r="I22" s="126">
        <f t="shared" si="2"/>
        <v>0.042273041953128684</v>
      </c>
      <c r="J22" s="127"/>
      <c r="K22" s="142"/>
      <c r="L22" s="98"/>
      <c r="M22" s="129"/>
      <c r="N22" s="98"/>
      <c r="O22" s="98"/>
      <c r="P22" s="98"/>
      <c r="Q22" s="98"/>
      <c r="R22" s="98"/>
      <c r="S22" s="98"/>
      <c r="T22" s="98"/>
    </row>
    <row r="23" spans="1:20" s="148" customFormat="1" ht="13.5" thickBot="1">
      <c r="A23" s="152" t="s">
        <v>247</v>
      </c>
      <c r="B23" s="153" t="s">
        <v>248</v>
      </c>
      <c r="C23" s="154"/>
      <c r="D23" s="276">
        <v>-9027615.33</v>
      </c>
      <c r="E23" s="250">
        <v>-13254537</v>
      </c>
      <c r="F23" s="250">
        <v>-9872323.660000002</v>
      </c>
      <c r="G23" s="155">
        <f t="shared" si="0"/>
        <v>0.7448259912813252</v>
      </c>
      <c r="H23" s="134">
        <f t="shared" si="1"/>
        <v>-844708.3300000019</v>
      </c>
      <c r="I23" s="135">
        <f t="shared" si="2"/>
        <v>0.09356937564596053</v>
      </c>
      <c r="J23" s="127"/>
      <c r="K23" s="128"/>
      <c r="L23" s="98"/>
      <c r="M23" s="129"/>
      <c r="N23" s="98"/>
      <c r="O23" s="98"/>
      <c r="P23" s="98"/>
      <c r="Q23" s="98"/>
      <c r="R23" s="98"/>
      <c r="S23" s="98"/>
      <c r="T23" s="98"/>
    </row>
    <row r="24" spans="1:13" ht="12.75">
      <c r="A24" s="144"/>
      <c r="B24" s="145" t="s">
        <v>249</v>
      </c>
      <c r="C24" s="146"/>
      <c r="D24" s="274">
        <v>-59164761.58</v>
      </c>
      <c r="E24" s="246">
        <v>-88109543.19999999</v>
      </c>
      <c r="F24" s="247">
        <v>-61202752.459999986</v>
      </c>
      <c r="G24" s="155">
        <f t="shared" si="0"/>
        <v>0.6946211526834927</v>
      </c>
      <c r="H24" s="134">
        <f t="shared" si="1"/>
        <v>-2037990.8799999878</v>
      </c>
      <c r="I24" s="135">
        <f t="shared" si="2"/>
        <v>0.03444602539713282</v>
      </c>
      <c r="J24" s="127"/>
      <c r="K24" s="128"/>
      <c r="M24" s="129"/>
    </row>
    <row r="25" spans="1:13" ht="12.75">
      <c r="A25" s="136">
        <v>50</v>
      </c>
      <c r="B25" s="137"/>
      <c r="C25" s="138" t="s">
        <v>250</v>
      </c>
      <c r="D25" s="272">
        <v>-31824866.43</v>
      </c>
      <c r="E25" s="245">
        <v>-48320039.8</v>
      </c>
      <c r="F25" s="245">
        <v>-34489410.61</v>
      </c>
      <c r="G25" s="139">
        <f t="shared" si="0"/>
        <v>0.7137703270269243</v>
      </c>
      <c r="H25" s="140">
        <f t="shared" si="1"/>
        <v>-2664544.1799999997</v>
      </c>
      <c r="I25" s="141">
        <f t="shared" si="2"/>
        <v>0.08372522743687756</v>
      </c>
      <c r="J25" s="127"/>
      <c r="K25" s="128"/>
      <c r="M25" s="129"/>
    </row>
    <row r="26" spans="1:13" ht="12.75">
      <c r="A26" s="156">
        <v>500</v>
      </c>
      <c r="B26" s="157"/>
      <c r="C26" s="158" t="s">
        <v>251</v>
      </c>
      <c r="D26" s="277">
        <v>-23521555.08</v>
      </c>
      <c r="E26" s="251">
        <v>-35838711.9</v>
      </c>
      <c r="F26" s="251">
        <v>-25572518.7</v>
      </c>
      <c r="G26" s="159">
        <f t="shared" si="0"/>
        <v>0.7135445819412947</v>
      </c>
      <c r="H26" s="160">
        <f t="shared" si="1"/>
        <v>-2050963.620000001</v>
      </c>
      <c r="I26" s="161">
        <f t="shared" si="2"/>
        <v>0.08719506907704</v>
      </c>
      <c r="J26" s="127"/>
      <c r="K26" s="128"/>
      <c r="M26" s="129"/>
    </row>
    <row r="27" spans="1:13" ht="12.75">
      <c r="A27" s="136">
        <v>55</v>
      </c>
      <c r="B27" s="137"/>
      <c r="C27" s="138" t="s">
        <v>252</v>
      </c>
      <c r="D27" s="272">
        <v>-27126090.189999998</v>
      </c>
      <c r="E27" s="245">
        <v>-39436716.4</v>
      </c>
      <c r="F27" s="245">
        <v>-26554402.869999994</v>
      </c>
      <c r="G27" s="139">
        <f t="shared" si="0"/>
        <v>0.6733421363143711</v>
      </c>
      <c r="H27" s="140">
        <f t="shared" si="1"/>
        <v>571687.320000004</v>
      </c>
      <c r="I27" s="141">
        <f t="shared" si="2"/>
        <v>-0.021075183190637475</v>
      </c>
      <c r="J27" s="127"/>
      <c r="K27" s="128"/>
      <c r="M27" s="129"/>
    </row>
    <row r="28" spans="1:20" s="148" customFormat="1" ht="13.5" thickBot="1">
      <c r="A28" s="162">
        <v>60</v>
      </c>
      <c r="B28" s="163"/>
      <c r="C28" s="164" t="s">
        <v>253</v>
      </c>
      <c r="D28" s="272">
        <v>-213804.96000000002</v>
      </c>
      <c r="E28" s="245">
        <v>-352787</v>
      </c>
      <c r="F28" s="245">
        <v>-158938.98</v>
      </c>
      <c r="G28" s="139">
        <f t="shared" si="0"/>
        <v>0.4505239138630392</v>
      </c>
      <c r="H28" s="140">
        <f t="shared" si="1"/>
        <v>54865.98000000001</v>
      </c>
      <c r="I28" s="141">
        <f t="shared" si="2"/>
        <v>-0.2566169652939764</v>
      </c>
      <c r="J28" s="127"/>
      <c r="K28" s="128"/>
      <c r="L28" s="98"/>
      <c r="M28" s="129"/>
      <c r="N28" s="98"/>
      <c r="O28" s="98"/>
      <c r="P28" s="98"/>
      <c r="Q28" s="98"/>
      <c r="R28" s="98"/>
      <c r="S28" s="98"/>
      <c r="T28" s="98"/>
    </row>
    <row r="29" spans="1:20" s="148" customFormat="1" ht="13.5" thickBot="1">
      <c r="A29" s="165"/>
      <c r="B29" s="166" t="s">
        <v>254</v>
      </c>
      <c r="C29" s="167"/>
      <c r="D29" s="278">
        <v>11184932.150000006</v>
      </c>
      <c r="E29" s="252">
        <v>4045799.000000015</v>
      </c>
      <c r="F29" s="252">
        <v>12360317.000000015</v>
      </c>
      <c r="G29" s="168"/>
      <c r="H29" s="169">
        <f t="shared" si="1"/>
        <v>1175384.850000009</v>
      </c>
      <c r="I29" s="170">
        <f t="shared" si="2"/>
        <v>0.10508645329600934</v>
      </c>
      <c r="J29" s="127"/>
      <c r="K29" s="128"/>
      <c r="L29" s="98"/>
      <c r="M29" s="129"/>
      <c r="N29" s="98"/>
      <c r="O29" s="98"/>
      <c r="P29" s="98"/>
      <c r="Q29" s="98"/>
      <c r="R29" s="98"/>
      <c r="S29" s="98"/>
      <c r="T29" s="98"/>
    </row>
    <row r="30" spans="1:20" s="148" customFormat="1" ht="13.5" thickBot="1">
      <c r="A30" s="171"/>
      <c r="B30" s="172" t="s">
        <v>255</v>
      </c>
      <c r="C30" s="173"/>
      <c r="D30" s="280">
        <v>-9861916.620000001</v>
      </c>
      <c r="E30" s="254">
        <v>-11335921</v>
      </c>
      <c r="F30" s="255">
        <v>-3568481.179999998</v>
      </c>
      <c r="G30" s="174">
        <f aca="true" t="shared" si="3" ref="G30:G39">F30/E30</f>
        <v>0.3147941115679968</v>
      </c>
      <c r="H30" s="125">
        <f t="shared" si="1"/>
        <v>6293435.440000003</v>
      </c>
      <c r="I30" s="126">
        <f t="shared" si="2"/>
        <v>-0.6381554095921775</v>
      </c>
      <c r="J30" s="127"/>
      <c r="K30" s="128"/>
      <c r="L30" s="98"/>
      <c r="M30" s="129"/>
      <c r="N30" s="98"/>
      <c r="O30" s="98"/>
      <c r="P30" s="98"/>
      <c r="Q30" s="98"/>
      <c r="R30" s="98"/>
      <c r="S30" s="98"/>
      <c r="T30" s="98"/>
    </row>
    <row r="31" spans="1:20" s="148" customFormat="1" ht="19.5" customHeight="1">
      <c r="A31" s="156"/>
      <c r="B31" s="175" t="s">
        <v>256</v>
      </c>
      <c r="C31" s="158"/>
      <c r="D31" s="277">
        <v>17913632.5</v>
      </c>
      <c r="E31" s="251">
        <v>18032501</v>
      </c>
      <c r="F31" s="251">
        <v>13634771.53</v>
      </c>
      <c r="G31" s="159">
        <f t="shared" si="3"/>
        <v>0.7561220448566729</v>
      </c>
      <c r="H31" s="160">
        <f t="shared" si="1"/>
        <v>-4278860.970000001</v>
      </c>
      <c r="I31" s="161">
        <f t="shared" si="2"/>
        <v>-0.23886059792730485</v>
      </c>
      <c r="J31" s="127"/>
      <c r="K31" s="128"/>
      <c r="L31" s="98"/>
      <c r="M31" s="129"/>
      <c r="N31" s="98"/>
      <c r="O31" s="98"/>
      <c r="P31" s="98"/>
      <c r="Q31" s="98"/>
      <c r="R31" s="98"/>
      <c r="S31" s="98"/>
      <c r="T31" s="98"/>
    </row>
    <row r="32" spans="1:20" s="148" customFormat="1" ht="12.75">
      <c r="A32" s="156"/>
      <c r="B32" s="175" t="s">
        <v>257</v>
      </c>
      <c r="C32" s="158"/>
      <c r="D32" s="277">
        <v>-27775549.120000005</v>
      </c>
      <c r="E32" s="251">
        <v>-29368422</v>
      </c>
      <c r="F32" s="251">
        <v>-17203252.709999997</v>
      </c>
      <c r="G32" s="159">
        <f t="shared" si="3"/>
        <v>0.5857738188997692</v>
      </c>
      <c r="H32" s="160">
        <f t="shared" si="1"/>
        <v>10572296.410000008</v>
      </c>
      <c r="I32" s="161">
        <f t="shared" si="2"/>
        <v>-0.38063320960187036</v>
      </c>
      <c r="J32" s="127"/>
      <c r="K32" s="128"/>
      <c r="L32" s="98"/>
      <c r="M32" s="129"/>
      <c r="N32" s="98"/>
      <c r="O32" s="98"/>
      <c r="P32" s="98"/>
      <c r="Q32" s="98"/>
      <c r="R32" s="98"/>
      <c r="S32" s="98"/>
      <c r="T32" s="98"/>
    </row>
    <row r="33" spans="1:20" s="148" customFormat="1" ht="12.75">
      <c r="A33" s="136">
        <v>381</v>
      </c>
      <c r="B33" s="137"/>
      <c r="C33" s="138" t="s">
        <v>258</v>
      </c>
      <c r="D33" s="272">
        <v>124376.26</v>
      </c>
      <c r="E33" s="245">
        <v>351830</v>
      </c>
      <c r="F33" s="245">
        <v>166218.9</v>
      </c>
      <c r="G33" s="139">
        <f t="shared" si="3"/>
        <v>0.4724409515959412</v>
      </c>
      <c r="H33" s="140">
        <f t="shared" si="1"/>
        <v>41842.64</v>
      </c>
      <c r="I33" s="141">
        <f t="shared" si="2"/>
        <v>0.33641982802827486</v>
      </c>
      <c r="J33" s="127"/>
      <c r="K33" s="128"/>
      <c r="L33" s="98"/>
      <c r="M33" s="129"/>
      <c r="N33" s="98"/>
      <c r="O33" s="98"/>
      <c r="P33" s="98"/>
      <c r="Q33" s="98"/>
      <c r="R33" s="98"/>
      <c r="S33" s="98"/>
      <c r="T33" s="98"/>
    </row>
    <row r="34" spans="1:20" s="148" customFormat="1" ht="12.75">
      <c r="A34" s="156">
        <v>3810</v>
      </c>
      <c r="B34" s="157"/>
      <c r="C34" s="158" t="s">
        <v>259</v>
      </c>
      <c r="D34" s="277">
        <v>1600</v>
      </c>
      <c r="E34" s="251">
        <v>270000</v>
      </c>
      <c r="F34" s="251">
        <v>4000</v>
      </c>
      <c r="G34" s="159">
        <f t="shared" si="3"/>
        <v>0.014814814814814815</v>
      </c>
      <c r="H34" s="160">
        <f t="shared" si="1"/>
        <v>2400</v>
      </c>
      <c r="I34" s="161">
        <f t="shared" si="2"/>
        <v>1.5</v>
      </c>
      <c r="J34" s="127"/>
      <c r="K34" s="128"/>
      <c r="L34" s="98"/>
      <c r="M34" s="129"/>
      <c r="N34" s="98"/>
      <c r="O34" s="98"/>
      <c r="P34" s="98"/>
      <c r="Q34" s="98"/>
      <c r="R34" s="98"/>
      <c r="S34" s="98"/>
      <c r="T34" s="98"/>
    </row>
    <row r="35" spans="1:20" s="148" customFormat="1" ht="12.75">
      <c r="A35" s="156">
        <v>3811</v>
      </c>
      <c r="B35" s="157"/>
      <c r="C35" s="158" t="s">
        <v>260</v>
      </c>
      <c r="D35" s="277">
        <v>115811.2</v>
      </c>
      <c r="E35" s="251">
        <v>81830</v>
      </c>
      <c r="F35" s="251">
        <v>162218.9</v>
      </c>
      <c r="G35" s="159">
        <f t="shared" si="3"/>
        <v>1.9823890993523157</v>
      </c>
      <c r="H35" s="160">
        <f t="shared" si="1"/>
        <v>46407.7</v>
      </c>
      <c r="I35" s="161">
        <f t="shared" si="2"/>
        <v>0.4007185833494515</v>
      </c>
      <c r="J35" s="127"/>
      <c r="K35" s="128"/>
      <c r="L35" s="98"/>
      <c r="M35" s="129"/>
      <c r="N35" s="98"/>
      <c r="O35" s="98"/>
      <c r="P35" s="98"/>
      <c r="Q35" s="98"/>
      <c r="R35" s="98"/>
      <c r="S35" s="98"/>
      <c r="T35" s="98"/>
    </row>
    <row r="36" spans="1:20" s="148" customFormat="1" ht="12.75">
      <c r="A36" s="136">
        <v>15</v>
      </c>
      <c r="B36" s="137"/>
      <c r="C36" s="138" t="s">
        <v>261</v>
      </c>
      <c r="D36" s="272">
        <v>-26537097.130000003</v>
      </c>
      <c r="E36" s="245">
        <v>-26879009</v>
      </c>
      <c r="F36" s="245">
        <v>-15596287.189999998</v>
      </c>
      <c r="G36" s="139">
        <f t="shared" si="3"/>
        <v>0.5802404095329555</v>
      </c>
      <c r="H36" s="140">
        <f t="shared" si="1"/>
        <v>10940809.940000005</v>
      </c>
      <c r="I36" s="141">
        <f t="shared" si="2"/>
        <v>-0.41228360006383274</v>
      </c>
      <c r="J36" s="127"/>
      <c r="K36" s="128"/>
      <c r="L36" s="98"/>
      <c r="M36" s="129"/>
      <c r="N36" s="98"/>
      <c r="O36" s="98"/>
      <c r="P36" s="98"/>
      <c r="Q36" s="98"/>
      <c r="R36" s="98"/>
      <c r="S36" s="98"/>
      <c r="T36" s="98"/>
    </row>
    <row r="37" spans="1:20" s="148" customFormat="1" ht="12.75">
      <c r="A37" s="156">
        <v>1550</v>
      </c>
      <c r="B37" s="157"/>
      <c r="C37" s="158" t="s">
        <v>262</v>
      </c>
      <c r="D37" s="277">
        <v>-264750</v>
      </c>
      <c r="E37" s="251">
        <v>0</v>
      </c>
      <c r="F37" s="251">
        <v>0</v>
      </c>
      <c r="G37" s="159" t="e">
        <f t="shared" si="3"/>
        <v>#DIV/0!</v>
      </c>
      <c r="H37" s="160">
        <f t="shared" si="1"/>
        <v>264750</v>
      </c>
      <c r="I37" s="161">
        <f t="shared" si="2"/>
        <v>-1</v>
      </c>
      <c r="J37" s="127"/>
      <c r="K37" s="128"/>
      <c r="L37" s="98"/>
      <c r="M37" s="129"/>
      <c r="N37" s="98"/>
      <c r="O37" s="98"/>
      <c r="P37" s="98"/>
      <c r="Q37" s="98"/>
      <c r="R37" s="98"/>
      <c r="S37" s="98"/>
      <c r="T37" s="98"/>
    </row>
    <row r="38" spans="1:20" s="148" customFormat="1" ht="12.75">
      <c r="A38" s="156">
        <v>1551</v>
      </c>
      <c r="B38" s="157"/>
      <c r="C38" s="158" t="s">
        <v>263</v>
      </c>
      <c r="D38" s="277">
        <v>-26017993.46</v>
      </c>
      <c r="E38" s="251">
        <v>-26485252</v>
      </c>
      <c r="F38" s="251">
        <v>-15408652.279999997</v>
      </c>
      <c r="G38" s="159">
        <f t="shared" si="3"/>
        <v>0.5817823549498414</v>
      </c>
      <c r="H38" s="160">
        <f t="shared" si="1"/>
        <v>10609341.180000003</v>
      </c>
      <c r="I38" s="161">
        <f t="shared" si="2"/>
        <v>-0.407769384534237</v>
      </c>
      <c r="J38" s="127"/>
      <c r="K38" s="128"/>
      <c r="L38" s="98"/>
      <c r="M38" s="129"/>
      <c r="N38" s="98"/>
      <c r="O38" s="98"/>
      <c r="P38" s="98"/>
      <c r="Q38" s="98"/>
      <c r="R38" s="98"/>
      <c r="S38" s="98"/>
      <c r="T38" s="98"/>
    </row>
    <row r="39" spans="1:20" s="148" customFormat="1" ht="12.75">
      <c r="A39" s="156">
        <v>1554</v>
      </c>
      <c r="B39" s="157"/>
      <c r="C39" s="158" t="s">
        <v>264</v>
      </c>
      <c r="D39" s="277">
        <v>-124989.67000000001</v>
      </c>
      <c r="E39" s="251">
        <v>-146194</v>
      </c>
      <c r="F39" s="251">
        <v>-88570.51</v>
      </c>
      <c r="G39" s="159">
        <f t="shared" si="3"/>
        <v>0.6058423054297714</v>
      </c>
      <c r="H39" s="160">
        <f t="shared" si="1"/>
        <v>36419.16000000002</v>
      </c>
      <c r="I39" s="161">
        <f t="shared" si="2"/>
        <v>-0.291377359424983</v>
      </c>
      <c r="J39" s="127"/>
      <c r="K39" s="128"/>
      <c r="L39" s="98"/>
      <c r="M39" s="129"/>
      <c r="N39" s="98"/>
      <c r="O39" s="98"/>
      <c r="P39" s="98"/>
      <c r="Q39" s="98"/>
      <c r="R39" s="98"/>
      <c r="S39" s="98"/>
      <c r="T39" s="98"/>
    </row>
    <row r="40" spans="1:20" s="148" customFormat="1" ht="12.75">
      <c r="A40" s="136">
        <v>3502</v>
      </c>
      <c r="B40" s="137"/>
      <c r="C40" s="138" t="s">
        <v>265</v>
      </c>
      <c r="D40" s="272">
        <v>17229997.43</v>
      </c>
      <c r="E40" s="245">
        <v>17337671</v>
      </c>
      <c r="F40" s="245">
        <v>13121633.95</v>
      </c>
      <c r="G40" s="139">
        <f>F40/E40</f>
        <v>0.7568279470754751</v>
      </c>
      <c r="H40" s="140">
        <f t="shared" si="1"/>
        <v>-4108363.4800000004</v>
      </c>
      <c r="I40" s="141">
        <f t="shared" si="2"/>
        <v>-0.23844248942525817</v>
      </c>
      <c r="J40" s="127"/>
      <c r="K40" s="128"/>
      <c r="L40" s="98"/>
      <c r="M40" s="129"/>
      <c r="N40" s="98"/>
      <c r="O40" s="98"/>
      <c r="P40" s="98"/>
      <c r="Q40" s="98"/>
      <c r="R40" s="98"/>
      <c r="S40" s="98"/>
      <c r="T40" s="98"/>
    </row>
    <row r="41" spans="1:20" s="148" customFormat="1" ht="12.75">
      <c r="A41" s="136">
        <v>4502</v>
      </c>
      <c r="B41" s="137"/>
      <c r="C41" s="138" t="s">
        <v>266</v>
      </c>
      <c r="D41" s="272">
        <v>-533757.53</v>
      </c>
      <c r="E41" s="245">
        <v>-1175082</v>
      </c>
      <c r="F41" s="245">
        <v>-821819.25</v>
      </c>
      <c r="G41" s="139">
        <f>F41/E41</f>
        <v>0.6993718310722146</v>
      </c>
      <c r="H41" s="140">
        <f t="shared" si="1"/>
        <v>-288061.72</v>
      </c>
      <c r="I41" s="141">
        <f t="shared" si="2"/>
        <v>0.5396864752427941</v>
      </c>
      <c r="J41" s="127"/>
      <c r="K41" s="128"/>
      <c r="L41" s="98"/>
      <c r="M41" s="129"/>
      <c r="N41" s="98"/>
      <c r="O41" s="98"/>
      <c r="P41" s="98"/>
      <c r="Q41" s="98"/>
      <c r="R41" s="98"/>
      <c r="S41" s="98"/>
      <c r="T41" s="98"/>
    </row>
    <row r="42" spans="1:20" s="148" customFormat="1" ht="12.75" customHeight="1" hidden="1">
      <c r="A42" s="176" t="s">
        <v>267</v>
      </c>
      <c r="B42" s="177"/>
      <c r="C42" s="138" t="s">
        <v>268</v>
      </c>
      <c r="D42" s="272">
        <v>0</v>
      </c>
      <c r="E42" s="245">
        <v>0</v>
      </c>
      <c r="F42" s="245">
        <v>0</v>
      </c>
      <c r="G42" s="149" t="s">
        <v>241</v>
      </c>
      <c r="H42" s="140">
        <f t="shared" si="1"/>
        <v>0</v>
      </c>
      <c r="I42" s="150" t="s">
        <v>241</v>
      </c>
      <c r="J42" s="127"/>
      <c r="K42" s="128"/>
      <c r="L42" s="98"/>
      <c r="M42" s="129"/>
      <c r="N42" s="98"/>
      <c r="O42" s="98"/>
      <c r="P42" s="98"/>
      <c r="Q42" s="98"/>
      <c r="R42" s="98"/>
      <c r="S42" s="98"/>
      <c r="T42" s="98"/>
    </row>
    <row r="43" spans="1:20" s="148" customFormat="1" ht="12.75" customHeight="1" hidden="1">
      <c r="A43" s="176" t="s">
        <v>269</v>
      </c>
      <c r="B43" s="177"/>
      <c r="C43" s="138" t="s">
        <v>270</v>
      </c>
      <c r="D43" s="272">
        <v>0</v>
      </c>
      <c r="E43" s="245">
        <v>0</v>
      </c>
      <c r="F43" s="245">
        <v>0</v>
      </c>
      <c r="G43" s="149" t="s">
        <v>241</v>
      </c>
      <c r="H43" s="140">
        <f t="shared" si="1"/>
        <v>0</v>
      </c>
      <c r="I43" s="150" t="s">
        <v>241</v>
      </c>
      <c r="J43" s="127"/>
      <c r="K43" s="128"/>
      <c r="L43" s="98"/>
      <c r="M43" s="129"/>
      <c r="N43" s="98"/>
      <c r="O43" s="98"/>
      <c r="P43" s="98"/>
      <c r="Q43" s="98"/>
      <c r="R43" s="98"/>
      <c r="S43" s="98"/>
      <c r="T43" s="98"/>
    </row>
    <row r="44" spans="1:20" s="148" customFormat="1" ht="12.75" customHeight="1" hidden="1">
      <c r="A44" s="176" t="s">
        <v>271</v>
      </c>
      <c r="B44" s="137"/>
      <c r="C44" s="178" t="s">
        <v>272</v>
      </c>
      <c r="D44" s="272">
        <v>0</v>
      </c>
      <c r="E44" s="245">
        <v>0</v>
      </c>
      <c r="F44" s="245">
        <v>0</v>
      </c>
      <c r="G44" s="149" t="s">
        <v>241</v>
      </c>
      <c r="H44" s="140">
        <f t="shared" si="1"/>
        <v>0</v>
      </c>
      <c r="I44" s="150" t="s">
        <v>241</v>
      </c>
      <c r="J44" s="127"/>
      <c r="K44" s="128"/>
      <c r="L44" s="98"/>
      <c r="M44" s="129"/>
      <c r="N44" s="98"/>
      <c r="O44" s="98"/>
      <c r="P44" s="98"/>
      <c r="Q44" s="98"/>
      <c r="R44" s="98"/>
      <c r="S44" s="98"/>
      <c r="T44" s="98"/>
    </row>
    <row r="45" spans="1:20" s="148" customFormat="1" ht="12.75" customHeight="1" hidden="1">
      <c r="A45" s="176" t="s">
        <v>273</v>
      </c>
      <c r="B45" s="137"/>
      <c r="C45" s="178" t="s">
        <v>274</v>
      </c>
      <c r="D45" s="272">
        <v>0</v>
      </c>
      <c r="E45" s="245">
        <v>0</v>
      </c>
      <c r="F45" s="245">
        <v>0</v>
      </c>
      <c r="G45" s="149" t="s">
        <v>241</v>
      </c>
      <c r="H45" s="140">
        <f t="shared" si="1"/>
        <v>0</v>
      </c>
      <c r="I45" s="150" t="s">
        <v>241</v>
      </c>
      <c r="J45" s="127"/>
      <c r="K45" s="128"/>
      <c r="L45" s="98"/>
      <c r="M45" s="129"/>
      <c r="N45" s="98"/>
      <c r="O45" s="98"/>
      <c r="P45" s="98"/>
      <c r="Q45" s="98"/>
      <c r="R45" s="98"/>
      <c r="S45" s="98"/>
      <c r="T45" s="98"/>
    </row>
    <row r="46" spans="1:20" s="148" customFormat="1" ht="12.75" customHeight="1" hidden="1">
      <c r="A46" s="136" t="s">
        <v>275</v>
      </c>
      <c r="B46" s="137"/>
      <c r="C46" s="178" t="s">
        <v>276</v>
      </c>
      <c r="D46" s="272">
        <v>0</v>
      </c>
      <c r="E46" s="245">
        <v>0</v>
      </c>
      <c r="F46" s="245">
        <v>0</v>
      </c>
      <c r="G46" s="149" t="s">
        <v>241</v>
      </c>
      <c r="H46" s="140">
        <f t="shared" si="1"/>
        <v>0</v>
      </c>
      <c r="I46" s="150" t="s">
        <v>241</v>
      </c>
      <c r="J46" s="127"/>
      <c r="K46" s="128"/>
      <c r="L46" s="98"/>
      <c r="M46" s="129"/>
      <c r="N46" s="98"/>
      <c r="O46" s="98"/>
      <c r="P46" s="98"/>
      <c r="Q46" s="98"/>
      <c r="R46" s="98"/>
      <c r="S46" s="98"/>
      <c r="T46" s="98"/>
    </row>
    <row r="47" spans="1:20" s="148" customFormat="1" ht="12.75" customHeight="1" hidden="1">
      <c r="A47" s="136" t="s">
        <v>277</v>
      </c>
      <c r="B47" s="137"/>
      <c r="C47" s="138" t="s">
        <v>278</v>
      </c>
      <c r="D47" s="272">
        <v>0</v>
      </c>
      <c r="E47" s="245">
        <v>0</v>
      </c>
      <c r="F47" s="245">
        <v>0</v>
      </c>
      <c r="G47" s="149" t="s">
        <v>241</v>
      </c>
      <c r="H47" s="140">
        <f t="shared" si="1"/>
        <v>0</v>
      </c>
      <c r="I47" s="150" t="s">
        <v>241</v>
      </c>
      <c r="J47" s="127"/>
      <c r="K47" s="128"/>
      <c r="L47" s="98"/>
      <c r="M47" s="129"/>
      <c r="N47" s="98"/>
      <c r="O47" s="98"/>
      <c r="P47" s="98"/>
      <c r="Q47" s="98"/>
      <c r="R47" s="98"/>
      <c r="S47" s="98"/>
      <c r="T47" s="98"/>
    </row>
    <row r="48" spans="1:20" s="148" customFormat="1" ht="12.75">
      <c r="A48" s="179">
        <v>382</v>
      </c>
      <c r="B48" s="177"/>
      <c r="C48" s="138" t="s">
        <v>279</v>
      </c>
      <c r="D48" s="272">
        <v>559258.81</v>
      </c>
      <c r="E48" s="245">
        <v>343000</v>
      </c>
      <c r="F48" s="245">
        <v>346918.68</v>
      </c>
      <c r="G48" s="139">
        <f>F48/E48</f>
        <v>1.0114247230320699</v>
      </c>
      <c r="H48" s="140">
        <f t="shared" si="1"/>
        <v>-212340.13000000006</v>
      </c>
      <c r="I48" s="141">
        <f t="shared" si="2"/>
        <v>-0.37968133215460664</v>
      </c>
      <c r="J48" s="127"/>
      <c r="K48" s="128"/>
      <c r="L48" s="98"/>
      <c r="M48" s="129"/>
      <c r="N48" s="98"/>
      <c r="O48" s="98"/>
      <c r="P48" s="98"/>
      <c r="Q48" s="98"/>
      <c r="R48" s="98"/>
      <c r="S48" s="98"/>
      <c r="T48" s="98"/>
    </row>
    <row r="49" spans="1:20" s="148" customFormat="1" ht="13.5" thickBot="1">
      <c r="A49" s="162">
        <v>65</v>
      </c>
      <c r="B49" s="163"/>
      <c r="C49" s="164" t="s">
        <v>280</v>
      </c>
      <c r="D49" s="272">
        <v>-704694.46</v>
      </c>
      <c r="E49" s="245">
        <v>-1314331</v>
      </c>
      <c r="F49" s="245">
        <v>-785146.2699999999</v>
      </c>
      <c r="G49" s="139">
        <f>F49/E49</f>
        <v>0.5973733176802494</v>
      </c>
      <c r="H49" s="140">
        <f t="shared" si="1"/>
        <v>-80451.80999999994</v>
      </c>
      <c r="I49" s="141">
        <f t="shared" si="2"/>
        <v>0.11416552075632884</v>
      </c>
      <c r="J49" s="127"/>
      <c r="K49" s="128"/>
      <c r="L49" s="98"/>
      <c r="M49" s="129"/>
      <c r="N49" s="98"/>
      <c r="O49" s="98"/>
      <c r="P49" s="98"/>
      <c r="Q49" s="98"/>
      <c r="R49" s="98"/>
      <c r="S49" s="98"/>
      <c r="T49" s="98"/>
    </row>
    <row r="50" spans="1:20" s="148" customFormat="1" ht="13.5" thickBot="1">
      <c r="A50" s="180"/>
      <c r="B50" s="181" t="s">
        <v>281</v>
      </c>
      <c r="C50" s="182"/>
      <c r="D50" s="279">
        <v>1323015.530000005</v>
      </c>
      <c r="E50" s="252">
        <v>-7290121.999999985</v>
      </c>
      <c r="F50" s="253">
        <v>8791835.820000017</v>
      </c>
      <c r="G50" s="168"/>
      <c r="H50" s="169">
        <f t="shared" si="1"/>
        <v>7468820.290000012</v>
      </c>
      <c r="I50" s="170">
        <f t="shared" si="2"/>
        <v>5.645300543070711</v>
      </c>
      <c r="J50" s="127"/>
      <c r="K50" s="128"/>
      <c r="L50" s="98"/>
      <c r="M50" s="98"/>
      <c r="N50" s="98"/>
      <c r="O50" s="98"/>
      <c r="P50" s="98"/>
      <c r="Q50" s="98"/>
      <c r="R50" s="98"/>
      <c r="S50" s="98"/>
      <c r="T50" s="98"/>
    </row>
    <row r="51" spans="1:20" s="148" customFormat="1" ht="13.5" thickBot="1">
      <c r="A51" s="183"/>
      <c r="B51" s="172" t="s">
        <v>282</v>
      </c>
      <c r="C51" s="173"/>
      <c r="D51" s="280">
        <v>6086126.5600000005</v>
      </c>
      <c r="E51" s="254">
        <v>-19548711</v>
      </c>
      <c r="F51" s="255">
        <v>-7402759.04</v>
      </c>
      <c r="G51" s="174">
        <f aca="true" t="shared" si="4" ref="G51:G60">F51/E51</f>
        <v>0.37868271928517433</v>
      </c>
      <c r="H51" s="125">
        <f t="shared" si="1"/>
        <v>-13488885.600000001</v>
      </c>
      <c r="I51" s="126">
        <f t="shared" si="2"/>
        <v>-2.2163334046737275</v>
      </c>
      <c r="J51" s="127"/>
      <c r="K51" s="128"/>
      <c r="L51" s="98"/>
      <c r="M51" s="98"/>
      <c r="N51" s="98"/>
      <c r="O51" s="98"/>
      <c r="P51" s="98"/>
      <c r="Q51" s="98"/>
      <c r="R51" s="98"/>
      <c r="S51" s="98"/>
      <c r="T51" s="98"/>
    </row>
    <row r="52" spans="1:20" s="148" customFormat="1" ht="12.75">
      <c r="A52" s="184" t="s">
        <v>283</v>
      </c>
      <c r="B52" s="185"/>
      <c r="C52" s="186" t="s">
        <v>284</v>
      </c>
      <c r="D52" s="281">
        <v>19777548</v>
      </c>
      <c r="E52" s="256">
        <v>-10726451</v>
      </c>
      <c r="F52" s="257">
        <v>0</v>
      </c>
      <c r="G52" s="187">
        <f t="shared" si="4"/>
        <v>0</v>
      </c>
      <c r="H52" s="140">
        <f t="shared" si="1"/>
        <v>-19777548</v>
      </c>
      <c r="I52" s="141">
        <f t="shared" si="2"/>
        <v>-1</v>
      </c>
      <c r="J52" s="127"/>
      <c r="K52" s="128"/>
      <c r="L52" s="98"/>
      <c r="M52" s="98"/>
      <c r="N52" s="98"/>
      <c r="O52" s="98"/>
      <c r="P52" s="98"/>
      <c r="Q52" s="98"/>
      <c r="R52" s="98"/>
      <c r="S52" s="98"/>
      <c r="T52" s="98"/>
    </row>
    <row r="53" spans="1:20" s="148" customFormat="1" ht="12.75">
      <c r="A53" s="188" t="s">
        <v>285</v>
      </c>
      <c r="B53" s="189"/>
      <c r="C53" s="190" t="s">
        <v>286</v>
      </c>
      <c r="D53" s="277">
        <v>19777548</v>
      </c>
      <c r="E53" s="251">
        <v>-10726451</v>
      </c>
      <c r="F53" s="251">
        <v>0</v>
      </c>
      <c r="G53" s="159">
        <f t="shared" si="4"/>
        <v>0</v>
      </c>
      <c r="H53" s="160">
        <f t="shared" si="1"/>
        <v>-19777548</v>
      </c>
      <c r="I53" s="161">
        <f t="shared" si="2"/>
        <v>-1</v>
      </c>
      <c r="J53" s="127"/>
      <c r="K53" s="128"/>
      <c r="L53" s="98"/>
      <c r="M53" s="98"/>
      <c r="N53" s="98"/>
      <c r="O53" s="98"/>
      <c r="P53" s="98"/>
      <c r="Q53" s="98"/>
      <c r="R53" s="98"/>
      <c r="S53" s="98"/>
      <c r="T53" s="98"/>
    </row>
    <row r="54" spans="1:20" s="148" customFormat="1" ht="12.75">
      <c r="A54" s="188" t="s">
        <v>287</v>
      </c>
      <c r="B54" s="189"/>
      <c r="C54" s="190" t="s">
        <v>288</v>
      </c>
      <c r="D54" s="277">
        <v>0</v>
      </c>
      <c r="E54" s="251">
        <v>0</v>
      </c>
      <c r="F54" s="251">
        <v>0</v>
      </c>
      <c r="G54" s="159" t="e">
        <f t="shared" si="4"/>
        <v>#DIV/0!</v>
      </c>
      <c r="H54" s="160">
        <f t="shared" si="1"/>
        <v>0</v>
      </c>
      <c r="I54" s="161" t="e">
        <f t="shared" si="2"/>
        <v>#DIV/0!</v>
      </c>
      <c r="J54" s="127"/>
      <c r="K54" s="128"/>
      <c r="L54" s="98"/>
      <c r="M54" s="98"/>
      <c r="N54" s="98"/>
      <c r="O54" s="98"/>
      <c r="P54" s="98"/>
      <c r="Q54" s="98"/>
      <c r="R54" s="98"/>
      <c r="S54" s="98"/>
      <c r="T54" s="98"/>
    </row>
    <row r="55" spans="1:20" s="148" customFormat="1" ht="12.75">
      <c r="A55" s="188" t="s">
        <v>289</v>
      </c>
      <c r="B55" s="189"/>
      <c r="C55" s="190" t="s">
        <v>290</v>
      </c>
      <c r="D55" s="277">
        <v>0</v>
      </c>
      <c r="E55" s="251">
        <v>0</v>
      </c>
      <c r="F55" s="251">
        <v>0</v>
      </c>
      <c r="G55" s="159" t="e">
        <f t="shared" si="4"/>
        <v>#DIV/0!</v>
      </c>
      <c r="H55" s="160">
        <f t="shared" si="1"/>
        <v>0</v>
      </c>
      <c r="I55" s="161" t="e">
        <f t="shared" si="2"/>
        <v>#DIV/0!</v>
      </c>
      <c r="J55" s="127"/>
      <c r="K55" s="128"/>
      <c r="L55" s="98"/>
      <c r="M55" s="98"/>
      <c r="N55" s="98"/>
      <c r="O55" s="98"/>
      <c r="P55" s="98"/>
      <c r="Q55" s="98"/>
      <c r="R55" s="98"/>
      <c r="S55" s="98"/>
      <c r="T55" s="98"/>
    </row>
    <row r="56" spans="1:20" s="148" customFormat="1" ht="12.75">
      <c r="A56" s="191" t="s">
        <v>291</v>
      </c>
      <c r="B56" s="192"/>
      <c r="C56" s="186" t="s">
        <v>292</v>
      </c>
      <c r="D56" s="281">
        <v>-13691421.44</v>
      </c>
      <c r="E56" s="256">
        <v>-8822260</v>
      </c>
      <c r="F56" s="257">
        <v>-7402759.04</v>
      </c>
      <c r="G56" s="187">
        <f t="shared" si="4"/>
        <v>0.8391000763976577</v>
      </c>
      <c r="H56" s="140">
        <f t="shared" si="1"/>
        <v>6288662.399999999</v>
      </c>
      <c r="I56" s="141">
        <f t="shared" si="2"/>
        <v>-0.45931406228044647</v>
      </c>
      <c r="J56" s="127"/>
      <c r="K56" s="128"/>
      <c r="L56" s="98"/>
      <c r="M56" s="98"/>
      <c r="N56" s="98"/>
      <c r="O56" s="98"/>
      <c r="P56" s="98"/>
      <c r="Q56" s="98"/>
      <c r="R56" s="98"/>
      <c r="S56" s="98"/>
      <c r="T56" s="98"/>
    </row>
    <row r="57" spans="1:20" s="148" customFormat="1" ht="12.75">
      <c r="A57" s="188" t="s">
        <v>293</v>
      </c>
      <c r="B57" s="189"/>
      <c r="C57" s="190" t="s">
        <v>286</v>
      </c>
      <c r="D57" s="277">
        <v>-13495749.15</v>
      </c>
      <c r="E57" s="251">
        <v>-8551451</v>
      </c>
      <c r="F57" s="251">
        <v>-7201099.93</v>
      </c>
      <c r="G57" s="159">
        <f t="shared" si="4"/>
        <v>0.8420910006968407</v>
      </c>
      <c r="H57" s="160">
        <f t="shared" si="1"/>
        <v>6294649.220000001</v>
      </c>
      <c r="I57" s="161">
        <f t="shared" si="2"/>
        <v>-0.46641717699680274</v>
      </c>
      <c r="J57" s="127"/>
      <c r="K57" s="128"/>
      <c r="L57" s="98"/>
      <c r="M57" s="98"/>
      <c r="N57" s="98"/>
      <c r="O57" s="98"/>
      <c r="P57" s="98"/>
      <c r="Q57" s="98"/>
      <c r="R57" s="98"/>
      <c r="S57" s="98"/>
      <c r="T57" s="98"/>
    </row>
    <row r="58" spans="1:20" s="148" customFormat="1" ht="12.75">
      <c r="A58" s="188" t="s">
        <v>294</v>
      </c>
      <c r="B58" s="189"/>
      <c r="C58" s="190" t="s">
        <v>288</v>
      </c>
      <c r="D58" s="277">
        <v>0</v>
      </c>
      <c r="E58" s="251">
        <v>0</v>
      </c>
      <c r="F58" s="251">
        <v>0</v>
      </c>
      <c r="G58" s="159" t="e">
        <f t="shared" si="4"/>
        <v>#DIV/0!</v>
      </c>
      <c r="H58" s="160">
        <f t="shared" si="1"/>
        <v>0</v>
      </c>
      <c r="I58" s="161" t="e">
        <f t="shared" si="2"/>
        <v>#DIV/0!</v>
      </c>
      <c r="J58" s="127"/>
      <c r="K58" s="128"/>
      <c r="L58" s="98"/>
      <c r="M58" s="98"/>
      <c r="N58" s="98"/>
      <c r="O58" s="98"/>
      <c r="P58" s="98"/>
      <c r="Q58" s="98"/>
      <c r="R58" s="98"/>
      <c r="S58" s="98"/>
      <c r="T58" s="98"/>
    </row>
    <row r="59" spans="1:20" s="148" customFormat="1" ht="13.5" thickBot="1">
      <c r="A59" s="188" t="s">
        <v>295</v>
      </c>
      <c r="B59" s="193"/>
      <c r="C59" s="190" t="s">
        <v>290</v>
      </c>
      <c r="D59" s="277">
        <v>-195672.29</v>
      </c>
      <c r="E59" s="251">
        <v>-270809</v>
      </c>
      <c r="F59" s="251">
        <v>-201659.11</v>
      </c>
      <c r="G59" s="159">
        <f t="shared" si="4"/>
        <v>0.7446543874095765</v>
      </c>
      <c r="H59" s="160">
        <f t="shared" si="1"/>
        <v>-5986.819999999978</v>
      </c>
      <c r="I59" s="161">
        <f t="shared" si="2"/>
        <v>0.030596156461397666</v>
      </c>
      <c r="J59" s="127"/>
      <c r="K59" s="128"/>
      <c r="L59" s="98"/>
      <c r="M59" s="98"/>
      <c r="N59" s="98"/>
      <c r="O59" s="98"/>
      <c r="P59" s="98"/>
      <c r="Q59" s="98"/>
      <c r="R59" s="98"/>
      <c r="S59" s="98"/>
      <c r="T59" s="98"/>
    </row>
    <row r="60" spans="1:20" s="148" customFormat="1" ht="13.5" thickBot="1">
      <c r="A60" s="171">
        <v>1001</v>
      </c>
      <c r="B60" s="194" t="s">
        <v>296</v>
      </c>
      <c r="C60" s="195"/>
      <c r="D60" s="282">
        <v>7409142.090000005</v>
      </c>
      <c r="E60" s="258">
        <v>-26838832.999999985</v>
      </c>
      <c r="F60" s="258">
        <v>1389076.7800000052</v>
      </c>
      <c r="G60" s="196">
        <f t="shared" si="4"/>
        <v>-0.05175622874511742</v>
      </c>
      <c r="H60" s="125">
        <f t="shared" si="1"/>
        <v>-6020065.3100000005</v>
      </c>
      <c r="I60" s="126">
        <f t="shared" si="2"/>
        <v>-0.8125185395115018</v>
      </c>
      <c r="J60" s="127"/>
      <c r="K60" s="128"/>
      <c r="L60" s="98"/>
      <c r="M60" s="98"/>
      <c r="N60" s="98"/>
      <c r="O60" s="98"/>
      <c r="P60" s="98"/>
      <c r="Q60" s="98"/>
      <c r="R60" s="98"/>
      <c r="S60" s="98"/>
      <c r="T60" s="98"/>
    </row>
    <row r="61" spans="1:11" s="203" customFormat="1" ht="45" customHeight="1" thickBot="1">
      <c r="A61" s="197"/>
      <c r="B61" s="198"/>
      <c r="C61" s="199"/>
      <c r="D61" s="283"/>
      <c r="E61" s="259"/>
      <c r="F61" s="260"/>
      <c r="G61" s="200"/>
      <c r="H61" s="140"/>
      <c r="I61" s="141"/>
      <c r="J61" s="201"/>
      <c r="K61" s="202"/>
    </row>
    <row r="62" spans="1:11" ht="27.75" customHeight="1">
      <c r="A62" s="204"/>
      <c r="B62" s="205" t="s">
        <v>297</v>
      </c>
      <c r="C62" s="206"/>
      <c r="D62" s="284">
        <v>68124239.31</v>
      </c>
      <c r="E62" s="261">
        <v>101224409.19999999</v>
      </c>
      <c r="F62" s="262">
        <v>70950217.30999999</v>
      </c>
      <c r="G62" s="207">
        <f>F62/E62</f>
        <v>0.7009200436014992</v>
      </c>
      <c r="H62" s="125">
        <f t="shared" si="1"/>
        <v>2825977.999999985</v>
      </c>
      <c r="I62" s="126">
        <f t="shared" si="2"/>
        <v>0.04148270907129466</v>
      </c>
      <c r="J62" s="127"/>
      <c r="K62" s="142"/>
    </row>
    <row r="63" spans="1:11" s="214" customFormat="1" ht="12.75">
      <c r="A63" s="208" t="s">
        <v>298</v>
      </c>
      <c r="B63" s="209" t="s">
        <v>19</v>
      </c>
      <c r="C63" s="210"/>
      <c r="D63" s="285">
        <v>4650546.42</v>
      </c>
      <c r="E63" s="263">
        <v>7588981</v>
      </c>
      <c r="F63" s="263">
        <v>5002872.399999999</v>
      </c>
      <c r="G63" s="211">
        <f>F63/E63</f>
        <v>0.6592284787641449</v>
      </c>
      <c r="H63" s="212">
        <f t="shared" si="1"/>
        <v>352325.9799999995</v>
      </c>
      <c r="I63" s="213">
        <f t="shared" si="2"/>
        <v>0.07576012540909108</v>
      </c>
      <c r="J63" s="127"/>
      <c r="K63" s="128"/>
    </row>
    <row r="64" spans="1:11" s="214" customFormat="1" ht="12.75">
      <c r="A64" s="215" t="s">
        <v>299</v>
      </c>
      <c r="B64" s="216" t="s">
        <v>300</v>
      </c>
      <c r="C64" s="217"/>
      <c r="D64" s="286">
        <v>208268.08</v>
      </c>
      <c r="E64" s="263">
        <v>272229</v>
      </c>
      <c r="F64" s="263">
        <v>195332.73</v>
      </c>
      <c r="G64" s="218">
        <f aca="true" t="shared" si="5" ref="G64:G71">F64/E64</f>
        <v>0.7175309390255998</v>
      </c>
      <c r="H64" s="212">
        <f t="shared" si="1"/>
        <v>-12935.349999999977</v>
      </c>
      <c r="I64" s="213">
        <f t="shared" si="2"/>
        <v>-0.062109133574381525</v>
      </c>
      <c r="J64" s="127"/>
      <c r="K64" s="128"/>
    </row>
    <row r="65" spans="1:11" s="214" customFormat="1" ht="12.75">
      <c r="A65" s="215" t="s">
        <v>301</v>
      </c>
      <c r="B65" s="216" t="s">
        <v>34</v>
      </c>
      <c r="C65" s="217"/>
      <c r="D65" s="287">
        <v>8440667.36</v>
      </c>
      <c r="E65" s="263">
        <v>11768203</v>
      </c>
      <c r="F65" s="263">
        <v>8451740.390000002</v>
      </c>
      <c r="G65" s="218">
        <f t="shared" si="5"/>
        <v>0.7181844492315439</v>
      </c>
      <c r="H65" s="212">
        <f t="shared" si="1"/>
        <v>11073.030000003055</v>
      </c>
      <c r="I65" s="213">
        <f t="shared" si="2"/>
        <v>0.001311866648421394</v>
      </c>
      <c r="J65" s="127"/>
      <c r="K65" s="128"/>
    </row>
    <row r="66" spans="1:20" s="148" customFormat="1" ht="12.75">
      <c r="A66" s="215" t="s">
        <v>302</v>
      </c>
      <c r="B66" s="216" t="s">
        <v>95</v>
      </c>
      <c r="C66" s="217"/>
      <c r="D66" s="287">
        <v>4058190.97</v>
      </c>
      <c r="E66" s="263">
        <v>4120497</v>
      </c>
      <c r="F66" s="263">
        <v>3056430.6600000006</v>
      </c>
      <c r="G66" s="218">
        <f t="shared" si="5"/>
        <v>0.741762622324443</v>
      </c>
      <c r="H66" s="212">
        <f t="shared" si="1"/>
        <v>-1001760.3099999996</v>
      </c>
      <c r="I66" s="213">
        <f t="shared" si="2"/>
        <v>-0.24684898207242315</v>
      </c>
      <c r="J66" s="127"/>
      <c r="K66" s="128"/>
      <c r="L66" s="98"/>
      <c r="M66" s="98"/>
      <c r="N66" s="98"/>
      <c r="O66" s="98"/>
      <c r="P66" s="98"/>
      <c r="Q66" s="98"/>
      <c r="R66" s="98"/>
      <c r="S66" s="98"/>
      <c r="T66" s="98"/>
    </row>
    <row r="67" spans="1:20" s="148" customFormat="1" ht="12.75">
      <c r="A67" s="215" t="s">
        <v>303</v>
      </c>
      <c r="B67" s="216" t="s">
        <v>304</v>
      </c>
      <c r="C67" s="217"/>
      <c r="D67" s="287">
        <v>1582510.55</v>
      </c>
      <c r="E67" s="263">
        <v>2332200.4</v>
      </c>
      <c r="F67" s="263">
        <v>1550350.8499999999</v>
      </c>
      <c r="G67" s="218">
        <f t="shared" si="5"/>
        <v>0.6647588474815457</v>
      </c>
      <c r="H67" s="212">
        <f t="shared" si="1"/>
        <v>-32159.700000000186</v>
      </c>
      <c r="I67" s="213">
        <f t="shared" si="2"/>
        <v>-0.020321949828391465</v>
      </c>
      <c r="J67" s="127"/>
      <c r="K67" s="128"/>
      <c r="L67" s="98"/>
      <c r="M67" s="98"/>
      <c r="N67" s="98"/>
      <c r="O67" s="98"/>
      <c r="P67" s="98"/>
      <c r="Q67" s="98"/>
      <c r="R67" s="98"/>
      <c r="S67" s="98"/>
      <c r="T67" s="98"/>
    </row>
    <row r="68" spans="1:20" s="148" customFormat="1" ht="12.75">
      <c r="A68" s="215" t="s">
        <v>305</v>
      </c>
      <c r="B68" s="216" t="s">
        <v>306</v>
      </c>
      <c r="C68" s="217"/>
      <c r="D68" s="287">
        <v>256573.18</v>
      </c>
      <c r="E68" s="263">
        <v>419319</v>
      </c>
      <c r="F68" s="263">
        <v>283888.23</v>
      </c>
      <c r="G68" s="218">
        <f t="shared" si="5"/>
        <v>0.6770221001194794</v>
      </c>
      <c r="H68" s="212">
        <f t="shared" si="1"/>
        <v>27315.04999999999</v>
      </c>
      <c r="I68" s="213">
        <f t="shared" si="2"/>
        <v>0.10646104943626605</v>
      </c>
      <c r="J68" s="127"/>
      <c r="K68" s="128"/>
      <c r="L68" s="98"/>
      <c r="M68" s="98"/>
      <c r="N68" s="98"/>
      <c r="O68" s="98"/>
      <c r="P68" s="98"/>
      <c r="Q68" s="98"/>
      <c r="R68" s="98"/>
      <c r="S68" s="98"/>
      <c r="T68" s="98"/>
    </row>
    <row r="69" spans="1:20" s="148" customFormat="1" ht="12.75">
      <c r="A69" s="215" t="s">
        <v>307</v>
      </c>
      <c r="B69" s="216" t="s">
        <v>308</v>
      </c>
      <c r="C69" s="217"/>
      <c r="D69" s="287">
        <v>6157716.26</v>
      </c>
      <c r="E69" s="263">
        <v>8890702</v>
      </c>
      <c r="F69" s="263">
        <v>6996159.420000001</v>
      </c>
      <c r="G69" s="218">
        <f t="shared" si="5"/>
        <v>0.7869074253079229</v>
      </c>
      <c r="H69" s="212">
        <f t="shared" si="1"/>
        <v>838443.1600000011</v>
      </c>
      <c r="I69" s="213">
        <f t="shared" si="2"/>
        <v>0.13616138266169495</v>
      </c>
      <c r="J69" s="127"/>
      <c r="K69" s="128"/>
      <c r="L69" s="98"/>
      <c r="M69" s="98"/>
      <c r="N69" s="98"/>
      <c r="O69" s="98"/>
      <c r="P69" s="98"/>
      <c r="Q69" s="98"/>
      <c r="R69" s="98"/>
      <c r="S69" s="98"/>
      <c r="T69" s="98"/>
    </row>
    <row r="70" spans="1:20" s="148" customFormat="1" ht="12.75">
      <c r="A70" s="215" t="s">
        <v>309</v>
      </c>
      <c r="B70" s="216" t="s">
        <v>159</v>
      </c>
      <c r="C70" s="217"/>
      <c r="D70" s="287">
        <v>36762302.45</v>
      </c>
      <c r="E70" s="263">
        <v>56470911.8</v>
      </c>
      <c r="F70" s="263">
        <v>39244557.58999998</v>
      </c>
      <c r="G70" s="218">
        <f t="shared" si="5"/>
        <v>0.6949517253943115</v>
      </c>
      <c r="H70" s="212">
        <f aca="true" t="shared" si="6" ref="H70:H81">F70-D70</f>
        <v>2482255.1399999782</v>
      </c>
      <c r="I70" s="213">
        <f aca="true" t="shared" si="7" ref="I70:I81">H70/D70</f>
        <v>0.06752175393192703</v>
      </c>
      <c r="J70" s="127"/>
      <c r="K70" s="128"/>
      <c r="L70" s="98"/>
      <c r="M70" s="98"/>
      <c r="N70" s="98"/>
      <c r="O70" s="98"/>
      <c r="P70" s="98"/>
      <c r="Q70" s="98"/>
      <c r="R70" s="98"/>
      <c r="S70" s="98"/>
      <c r="T70" s="98"/>
    </row>
    <row r="71" spans="1:20" s="148" customFormat="1" ht="12.75">
      <c r="A71" s="215" t="s">
        <v>310</v>
      </c>
      <c r="B71" s="216" t="s">
        <v>201</v>
      </c>
      <c r="C71" s="217"/>
      <c r="D71" s="287">
        <v>6007464.04</v>
      </c>
      <c r="E71" s="263">
        <v>9361366</v>
      </c>
      <c r="F71" s="263">
        <v>6168885.04</v>
      </c>
      <c r="G71" s="218">
        <f t="shared" si="5"/>
        <v>0.6589727439350197</v>
      </c>
      <c r="H71" s="212">
        <f t="shared" si="6"/>
        <v>161421</v>
      </c>
      <c r="I71" s="213">
        <f t="shared" si="7"/>
        <v>0.026870073449495005</v>
      </c>
      <c r="J71" s="127"/>
      <c r="K71" s="128"/>
      <c r="L71" s="98"/>
      <c r="M71" s="98"/>
      <c r="N71" s="98"/>
      <c r="O71" s="98"/>
      <c r="P71" s="98"/>
      <c r="Q71" s="98"/>
      <c r="R71" s="98"/>
      <c r="S71" s="98"/>
      <c r="T71" s="98"/>
    </row>
    <row r="72" spans="1:11" ht="12.75">
      <c r="A72" s="219"/>
      <c r="B72" s="220" t="s">
        <v>311</v>
      </c>
      <c r="C72" s="221"/>
      <c r="D72" s="289">
        <v>27843686.72</v>
      </c>
      <c r="E72" s="265">
        <v>29508093</v>
      </c>
      <c r="F72" s="269">
        <v>17328111.52</v>
      </c>
      <c r="G72" s="222">
        <f>F72/E72</f>
        <v>0.5872325100778285</v>
      </c>
      <c r="H72" s="223">
        <f t="shared" si="6"/>
        <v>-10515575.2</v>
      </c>
      <c r="I72" s="224">
        <f t="shared" si="7"/>
        <v>-0.3776646140917362</v>
      </c>
      <c r="J72" s="127"/>
      <c r="K72" s="128"/>
    </row>
    <row r="73" spans="1:11" ht="12.75">
      <c r="A73" s="215" t="s">
        <v>298</v>
      </c>
      <c r="B73" s="216" t="s">
        <v>19</v>
      </c>
      <c r="C73" s="225"/>
      <c r="D73" s="288">
        <v>704691.5599999999</v>
      </c>
      <c r="E73" s="264">
        <v>1350675</v>
      </c>
      <c r="F73" s="268">
        <v>796568.29</v>
      </c>
      <c r="G73" s="218">
        <f>F73/E73</f>
        <v>0.5897557073315195</v>
      </c>
      <c r="H73" s="212">
        <f t="shared" si="6"/>
        <v>91876.7300000001</v>
      </c>
      <c r="I73" s="213">
        <f t="shared" si="7"/>
        <v>0.13037864395594592</v>
      </c>
      <c r="J73" s="127"/>
      <c r="K73" s="128"/>
    </row>
    <row r="74" spans="1:11" ht="12.75">
      <c r="A74" s="215" t="s">
        <v>299</v>
      </c>
      <c r="B74" s="216" t="s">
        <v>300</v>
      </c>
      <c r="C74" s="217"/>
      <c r="D74" s="288"/>
      <c r="E74" s="264"/>
      <c r="F74" s="268"/>
      <c r="G74" s="226" t="s">
        <v>241</v>
      </c>
      <c r="H74" s="212">
        <f t="shared" si="6"/>
        <v>0</v>
      </c>
      <c r="I74" s="213" t="e">
        <f t="shared" si="7"/>
        <v>#DIV/0!</v>
      </c>
      <c r="J74" s="127"/>
      <c r="K74" s="128"/>
    </row>
    <row r="75" spans="1:11" ht="12.75">
      <c r="A75" s="215" t="s">
        <v>301</v>
      </c>
      <c r="B75" s="216" t="s">
        <v>34</v>
      </c>
      <c r="C75" s="217"/>
      <c r="D75" s="288">
        <v>18090949.919999998</v>
      </c>
      <c r="E75" s="264">
        <v>19099680</v>
      </c>
      <c r="F75" s="268">
        <v>13236219.179999998</v>
      </c>
      <c r="G75" s="218">
        <f>F75/E75</f>
        <v>0.6930073791812218</v>
      </c>
      <c r="H75" s="212">
        <f t="shared" si="6"/>
        <v>-4854730.74</v>
      </c>
      <c r="I75" s="213">
        <f t="shared" si="7"/>
        <v>-0.26835134481429157</v>
      </c>
      <c r="J75" s="127"/>
      <c r="K75" s="128"/>
    </row>
    <row r="76" spans="1:11" ht="12.75">
      <c r="A76" s="215" t="s">
        <v>302</v>
      </c>
      <c r="B76" s="216" t="s">
        <v>95</v>
      </c>
      <c r="C76" s="217"/>
      <c r="D76" s="288">
        <v>91204.12</v>
      </c>
      <c r="E76" s="264">
        <v>418903</v>
      </c>
      <c r="F76" s="268">
        <v>302523.4</v>
      </c>
      <c r="G76" s="218">
        <f aca="true" t="shared" si="8" ref="G76:G81">F76/E76</f>
        <v>0.7221800751009184</v>
      </c>
      <c r="H76" s="212">
        <f t="shared" si="6"/>
        <v>211319.28000000003</v>
      </c>
      <c r="I76" s="213">
        <f t="shared" si="7"/>
        <v>2.3169926972597295</v>
      </c>
      <c r="J76" s="127"/>
      <c r="K76" s="128"/>
    </row>
    <row r="77" spans="1:11" ht="12.75">
      <c r="A77" s="215" t="s">
        <v>303</v>
      </c>
      <c r="B77" s="216" t="s">
        <v>304</v>
      </c>
      <c r="C77" s="217"/>
      <c r="D77" s="288">
        <v>128937.99</v>
      </c>
      <c r="E77" s="264">
        <v>568110</v>
      </c>
      <c r="F77" s="268">
        <v>119598.93000000001</v>
      </c>
      <c r="G77" s="218">
        <f t="shared" si="8"/>
        <v>0.21052072661984475</v>
      </c>
      <c r="H77" s="212">
        <f t="shared" si="6"/>
        <v>-9339.059999999998</v>
      </c>
      <c r="I77" s="213">
        <f t="shared" si="7"/>
        <v>-0.07243063118945779</v>
      </c>
      <c r="J77" s="127"/>
      <c r="K77" s="128"/>
    </row>
    <row r="78" spans="1:11" ht="12.75">
      <c r="A78" s="215" t="s">
        <v>305</v>
      </c>
      <c r="B78" s="216" t="s">
        <v>306</v>
      </c>
      <c r="C78" s="217"/>
      <c r="D78" s="288"/>
      <c r="E78" s="264"/>
      <c r="F78" s="268"/>
      <c r="G78" s="226" t="s">
        <v>241</v>
      </c>
      <c r="H78" s="212">
        <f t="shared" si="6"/>
        <v>0</v>
      </c>
      <c r="I78" s="213" t="e">
        <f t="shared" si="7"/>
        <v>#DIV/0!</v>
      </c>
      <c r="J78" s="127"/>
      <c r="K78" s="128"/>
    </row>
    <row r="79" spans="1:11" ht="12.75">
      <c r="A79" s="215" t="s">
        <v>307</v>
      </c>
      <c r="B79" s="216" t="s">
        <v>308</v>
      </c>
      <c r="C79" s="217"/>
      <c r="D79" s="288">
        <v>2457579.1</v>
      </c>
      <c r="E79" s="264">
        <v>769592</v>
      </c>
      <c r="F79" s="268">
        <v>497433.64</v>
      </c>
      <c r="G79" s="218">
        <f>F79/E79</f>
        <v>0.6463602012494932</v>
      </c>
      <c r="H79" s="212">
        <f t="shared" si="6"/>
        <v>-1960145.46</v>
      </c>
      <c r="I79" s="213">
        <f t="shared" si="7"/>
        <v>-0.7975920123995195</v>
      </c>
      <c r="J79" s="127"/>
      <c r="K79" s="128"/>
    </row>
    <row r="80" spans="1:20" s="227" customFormat="1" ht="12.75">
      <c r="A80" s="215" t="s">
        <v>309</v>
      </c>
      <c r="B80" s="216" t="s">
        <v>159</v>
      </c>
      <c r="C80" s="217"/>
      <c r="D80" s="288">
        <v>6262338.03</v>
      </c>
      <c r="E80" s="264">
        <v>6972833</v>
      </c>
      <c r="F80" s="268">
        <v>2189788.8800000004</v>
      </c>
      <c r="G80" s="218">
        <f t="shared" si="8"/>
        <v>0.3140457945859309</v>
      </c>
      <c r="H80" s="212">
        <f t="shared" si="6"/>
        <v>-4072549.15</v>
      </c>
      <c r="I80" s="213">
        <f t="shared" si="7"/>
        <v>-0.6503240691400365</v>
      </c>
      <c r="J80" s="127"/>
      <c r="K80" s="128"/>
      <c r="L80" s="98"/>
      <c r="M80" s="98"/>
      <c r="N80" s="98"/>
      <c r="O80" s="98"/>
      <c r="P80" s="98"/>
      <c r="Q80" s="98"/>
      <c r="R80" s="98"/>
      <c r="S80" s="98"/>
      <c r="T80" s="98"/>
    </row>
    <row r="81" spans="1:20" s="227" customFormat="1" ht="13.5" thickBot="1">
      <c r="A81" s="228" t="s">
        <v>310</v>
      </c>
      <c r="B81" s="229" t="s">
        <v>201</v>
      </c>
      <c r="C81" s="230"/>
      <c r="D81" s="290">
        <v>107986</v>
      </c>
      <c r="E81" s="266">
        <v>328300</v>
      </c>
      <c r="F81" s="267">
        <v>185979.2</v>
      </c>
      <c r="G81" s="231">
        <f t="shared" si="8"/>
        <v>0.5664916235150778</v>
      </c>
      <c r="H81" s="232">
        <f t="shared" si="6"/>
        <v>77993.20000000001</v>
      </c>
      <c r="I81" s="233">
        <f t="shared" si="7"/>
        <v>0.7222528846331933</v>
      </c>
      <c r="J81" s="127"/>
      <c r="K81" s="128"/>
      <c r="L81" s="98"/>
      <c r="M81" s="98"/>
      <c r="N81" s="98"/>
      <c r="O81" s="98"/>
      <c r="P81" s="98"/>
      <c r="Q81" s="98"/>
      <c r="R81" s="98"/>
      <c r="S81" s="98"/>
      <c r="T81" s="98"/>
    </row>
    <row r="82" spans="1:20" s="227" customFormat="1" ht="12.75">
      <c r="A82" s="234"/>
      <c r="B82" s="98"/>
      <c r="C82" s="98"/>
      <c r="D82" s="98"/>
      <c r="E82" s="129"/>
      <c r="F82" s="235"/>
      <c r="G82" s="98"/>
      <c r="H82" s="98"/>
      <c r="I82" s="98"/>
      <c r="J82" s="129"/>
      <c r="K82" s="98"/>
      <c r="L82" s="98"/>
      <c r="M82" s="98"/>
      <c r="N82" s="98"/>
      <c r="O82" s="98"/>
      <c r="P82" s="98"/>
      <c r="Q82" s="98"/>
      <c r="R82" s="98"/>
      <c r="S82" s="98"/>
      <c r="T82" s="98"/>
    </row>
    <row r="83" spans="1:20" s="227" customFormat="1" ht="12.75">
      <c r="A83" s="234"/>
      <c r="B83" s="98"/>
      <c r="C83" s="98"/>
      <c r="D83" s="98"/>
      <c r="E83" s="129"/>
      <c r="F83" s="235"/>
      <c r="G83" s="98"/>
      <c r="H83" s="98"/>
      <c r="I83" s="98"/>
      <c r="J83" s="129"/>
      <c r="K83" s="98"/>
      <c r="L83" s="98"/>
      <c r="M83" s="98"/>
      <c r="N83" s="98"/>
      <c r="O83" s="98"/>
      <c r="P83" s="98"/>
      <c r="Q83" s="98"/>
      <c r="R83" s="98"/>
      <c r="S83" s="98"/>
      <c r="T83" s="98"/>
    </row>
    <row r="84" spans="1:20" s="227" customFormat="1" ht="12.75">
      <c r="A84" s="234"/>
      <c r="B84" s="98"/>
      <c r="C84" s="129"/>
      <c r="D84" s="98"/>
      <c r="E84" s="235"/>
      <c r="F84" s="235"/>
      <c r="G84" s="236"/>
      <c r="H84" s="98"/>
      <c r="I84" s="129"/>
      <c r="J84" s="129"/>
      <c r="K84" s="237"/>
      <c r="L84" s="98"/>
      <c r="M84" s="98"/>
      <c r="N84" s="98"/>
      <c r="O84" s="98"/>
      <c r="P84" s="98"/>
      <c r="Q84" s="98"/>
      <c r="R84" s="98"/>
      <c r="S84" s="98"/>
      <c r="T84" s="98"/>
    </row>
    <row r="85" spans="1:20" s="227" customFormat="1" ht="12.75">
      <c r="A85" s="234"/>
      <c r="B85" s="98"/>
      <c r="C85" s="129"/>
      <c r="D85" s="98"/>
      <c r="E85" s="129"/>
      <c r="G85" s="237"/>
      <c r="H85" s="98"/>
      <c r="I85" s="129"/>
      <c r="J85" s="129"/>
      <c r="K85" s="237"/>
      <c r="L85" s="98"/>
      <c r="M85" s="98"/>
      <c r="N85" s="98"/>
      <c r="O85" s="98"/>
      <c r="P85" s="98"/>
      <c r="Q85" s="98"/>
      <c r="R85" s="98"/>
      <c r="S85" s="98"/>
      <c r="T85" s="98"/>
    </row>
    <row r="86" spans="1:20" s="227" customFormat="1" ht="12.75">
      <c r="A86" s="234"/>
      <c r="B86" s="98"/>
      <c r="C86" s="98"/>
      <c r="D86" s="98"/>
      <c r="E86" s="129"/>
      <c r="F86" s="129"/>
      <c r="G86" s="98"/>
      <c r="H86" s="98"/>
      <c r="I86" s="98"/>
      <c r="J86" s="238"/>
      <c r="K86" s="98"/>
      <c r="L86" s="98"/>
      <c r="M86" s="98"/>
      <c r="N86" s="98"/>
      <c r="O86" s="98"/>
      <c r="P86" s="98"/>
      <c r="Q86" s="98"/>
      <c r="R86" s="98"/>
      <c r="S86" s="98"/>
      <c r="T86" s="98"/>
    </row>
    <row r="87" spans="1:20" s="227" customFormat="1" ht="12.75">
      <c r="A87" s="234"/>
      <c r="B87" s="98"/>
      <c r="C87" s="98"/>
      <c r="D87" s="98"/>
      <c r="E87" s="129"/>
      <c r="F87" s="235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</row>
    <row r="88" spans="1:20" s="227" customFormat="1" ht="12.75">
      <c r="A88" s="234"/>
      <c r="B88" s="98"/>
      <c r="C88" s="98"/>
      <c r="D88" s="98"/>
      <c r="E88" s="129"/>
      <c r="F88" s="235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</row>
    <row r="89" spans="1:20" s="227" customFormat="1" ht="12.75">
      <c r="A89" s="234"/>
      <c r="B89" s="98"/>
      <c r="C89" s="98"/>
      <c r="D89" s="98"/>
      <c r="E89" s="129"/>
      <c r="F89" s="235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</row>
    <row r="90" spans="1:20" s="227" customFormat="1" ht="12.75">
      <c r="A90" s="234"/>
      <c r="B90" s="98"/>
      <c r="C90" s="98"/>
      <c r="D90" s="98"/>
      <c r="E90" s="129"/>
      <c r="F90" s="235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</row>
    <row r="91" spans="1:20" s="227" customFormat="1" ht="12.75">
      <c r="A91" s="234"/>
      <c r="B91" s="98"/>
      <c r="C91" s="98"/>
      <c r="D91" s="98"/>
      <c r="E91" s="129"/>
      <c r="F91" s="235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</row>
    <row r="92" spans="1:20" s="227" customFormat="1" ht="12.75">
      <c r="A92" s="234"/>
      <c r="B92" s="98"/>
      <c r="C92" s="98"/>
      <c r="D92" s="98"/>
      <c r="E92" s="129"/>
      <c r="F92" s="235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</row>
    <row r="93" spans="1:20" s="227" customFormat="1" ht="12.75">
      <c r="A93" s="234"/>
      <c r="B93" s="98"/>
      <c r="C93" s="98"/>
      <c r="D93" s="98"/>
      <c r="F93" s="235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</row>
    <row r="94" spans="1:20" s="227" customFormat="1" ht="12.75">
      <c r="A94" s="234"/>
      <c r="B94" s="98"/>
      <c r="C94" s="98"/>
      <c r="D94" s="98"/>
      <c r="E94" s="129"/>
      <c r="F94" s="235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</row>
    <row r="95" spans="1:20" s="227" customFormat="1" ht="12.75">
      <c r="A95" s="234"/>
      <c r="B95" s="98"/>
      <c r="C95" s="98"/>
      <c r="D95" s="98"/>
      <c r="E95" s="129"/>
      <c r="F95" s="235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</row>
    <row r="96" spans="1:20" s="227" customFormat="1" ht="12.75">
      <c r="A96" s="234"/>
      <c r="B96" s="98"/>
      <c r="C96" s="98"/>
      <c r="D96" s="98"/>
      <c r="E96" s="129"/>
      <c r="F96" s="235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</row>
    <row r="97" spans="1:20" s="227" customFormat="1" ht="12.75">
      <c r="A97" s="234"/>
      <c r="B97" s="98"/>
      <c r="C97" s="98"/>
      <c r="D97" s="98"/>
      <c r="E97" s="129"/>
      <c r="F97" s="235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</row>
    <row r="98" spans="1:20" s="227" customFormat="1" ht="12.75">
      <c r="A98" s="234"/>
      <c r="B98" s="98"/>
      <c r="C98" s="98"/>
      <c r="D98" s="98"/>
      <c r="E98" s="129"/>
      <c r="F98" s="235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</row>
    <row r="99" spans="1:20" s="227" customFormat="1" ht="12.75">
      <c r="A99" s="234"/>
      <c r="B99" s="98"/>
      <c r="C99" s="98"/>
      <c r="D99" s="98"/>
      <c r="E99" s="129"/>
      <c r="F99" s="235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</row>
    <row r="100" spans="1:20" s="227" customFormat="1" ht="12.75">
      <c r="A100" s="234"/>
      <c r="B100" s="98"/>
      <c r="C100" s="98"/>
      <c r="D100" s="98"/>
      <c r="E100" s="129"/>
      <c r="F100" s="235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</row>
    <row r="101" spans="1:20" s="227" customFormat="1" ht="12.75">
      <c r="A101" s="234"/>
      <c r="B101" s="98"/>
      <c r="C101" s="98"/>
      <c r="D101" s="98"/>
      <c r="E101" s="129"/>
      <c r="F101" s="235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</row>
    <row r="102" spans="1:20" s="227" customFormat="1" ht="12.75">
      <c r="A102" s="234"/>
      <c r="B102" s="98"/>
      <c r="C102" s="98"/>
      <c r="D102" s="98"/>
      <c r="E102" s="129"/>
      <c r="F102" s="235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</row>
    <row r="103" spans="1:20" s="227" customFormat="1" ht="12.75">
      <c r="A103" s="234"/>
      <c r="B103" s="98"/>
      <c r="C103" s="98"/>
      <c r="D103" s="98"/>
      <c r="E103" s="129"/>
      <c r="F103" s="235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</row>
    <row r="104" spans="1:20" s="227" customFormat="1" ht="12.75">
      <c r="A104" s="234"/>
      <c r="B104" s="98"/>
      <c r="C104" s="98"/>
      <c r="D104" s="98"/>
      <c r="E104" s="129"/>
      <c r="F104" s="235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</row>
    <row r="105" spans="1:20" s="227" customFormat="1" ht="12.75">
      <c r="A105" s="234"/>
      <c r="B105" s="98"/>
      <c r="C105" s="98"/>
      <c r="D105" s="98"/>
      <c r="E105" s="129"/>
      <c r="F105" s="235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</row>
    <row r="106" spans="1:20" s="227" customFormat="1" ht="12.75">
      <c r="A106" s="234"/>
      <c r="B106" s="98"/>
      <c r="C106" s="98"/>
      <c r="D106" s="98"/>
      <c r="E106" s="129"/>
      <c r="F106" s="235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</row>
    <row r="107" spans="1:20" s="227" customFormat="1" ht="12.75">
      <c r="A107" s="234"/>
      <c r="B107" s="98"/>
      <c r="C107" s="98"/>
      <c r="D107" s="98"/>
      <c r="E107" s="129"/>
      <c r="F107" s="235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</row>
    <row r="108" spans="1:20" s="227" customFormat="1" ht="12.75">
      <c r="A108" s="234"/>
      <c r="B108" s="98"/>
      <c r="C108" s="98"/>
      <c r="D108" s="98"/>
      <c r="E108" s="129"/>
      <c r="F108" s="235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</row>
    <row r="109" spans="1:20" s="227" customFormat="1" ht="12.75">
      <c r="A109" s="234"/>
      <c r="B109" s="98"/>
      <c r="C109" s="98"/>
      <c r="D109" s="98"/>
      <c r="E109" s="129"/>
      <c r="F109" s="235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</row>
    <row r="110" spans="1:20" s="227" customFormat="1" ht="12.75">
      <c r="A110" s="234"/>
      <c r="B110" s="98"/>
      <c r="C110" s="98"/>
      <c r="D110" s="98"/>
      <c r="E110" s="129"/>
      <c r="F110" s="235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</row>
    <row r="111" spans="1:20" s="227" customFormat="1" ht="12.75">
      <c r="A111" s="234"/>
      <c r="B111" s="98"/>
      <c r="C111" s="98"/>
      <c r="D111" s="98"/>
      <c r="E111" s="129"/>
      <c r="F111" s="235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</row>
    <row r="112" spans="1:20" s="227" customFormat="1" ht="12.75">
      <c r="A112" s="234"/>
      <c r="B112" s="98"/>
      <c r="C112" s="98"/>
      <c r="D112" s="98"/>
      <c r="E112" s="129"/>
      <c r="F112" s="235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</row>
    <row r="113" spans="1:20" s="227" customFormat="1" ht="12.75">
      <c r="A113" s="234"/>
      <c r="B113" s="98"/>
      <c r="C113" s="98"/>
      <c r="D113" s="98"/>
      <c r="E113" s="129"/>
      <c r="F113" s="235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</row>
    <row r="114" spans="1:20" s="227" customFormat="1" ht="12.75">
      <c r="A114" s="234"/>
      <c r="B114" s="98"/>
      <c r="C114" s="98"/>
      <c r="D114" s="98"/>
      <c r="E114" s="129"/>
      <c r="F114" s="235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</row>
    <row r="115" spans="1:20" s="227" customFormat="1" ht="12.75">
      <c r="A115" s="234"/>
      <c r="B115" s="98"/>
      <c r="C115" s="98"/>
      <c r="D115" s="98"/>
      <c r="E115" s="129"/>
      <c r="F115" s="235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</row>
    <row r="116" spans="1:20" s="227" customFormat="1" ht="12.75">
      <c r="A116" s="234"/>
      <c r="B116" s="98"/>
      <c r="C116" s="98"/>
      <c r="D116" s="98"/>
      <c r="E116" s="129"/>
      <c r="F116" s="235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</row>
    <row r="117" spans="1:20" s="227" customFormat="1" ht="12.75">
      <c r="A117" s="234"/>
      <c r="B117" s="98"/>
      <c r="C117" s="98"/>
      <c r="D117" s="98"/>
      <c r="E117" s="129"/>
      <c r="F117" s="235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</row>
    <row r="118" spans="1:20" s="227" customFormat="1" ht="12.75">
      <c r="A118" s="234"/>
      <c r="B118" s="98"/>
      <c r="C118" s="98"/>
      <c r="D118" s="98"/>
      <c r="E118" s="129"/>
      <c r="F118" s="235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</row>
    <row r="119" spans="1:20" s="227" customFormat="1" ht="12.75">
      <c r="A119" s="234"/>
      <c r="B119" s="98"/>
      <c r="C119" s="98"/>
      <c r="D119" s="98"/>
      <c r="E119" s="129"/>
      <c r="F119" s="235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</row>
    <row r="120" spans="1:20" s="227" customFormat="1" ht="12.75">
      <c r="A120" s="234"/>
      <c r="B120" s="98"/>
      <c r="C120" s="98"/>
      <c r="D120" s="98"/>
      <c r="E120" s="129"/>
      <c r="F120" s="235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</row>
    <row r="121" spans="1:20" s="227" customFormat="1" ht="12.75">
      <c r="A121" s="234"/>
      <c r="B121" s="98"/>
      <c r="C121" s="98"/>
      <c r="D121" s="98"/>
      <c r="E121" s="129"/>
      <c r="F121" s="235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</row>
    <row r="122" spans="1:20" s="227" customFormat="1" ht="12.75">
      <c r="A122" s="234"/>
      <c r="B122" s="98"/>
      <c r="C122" s="98"/>
      <c r="D122" s="98"/>
      <c r="E122" s="129"/>
      <c r="F122" s="235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</row>
    <row r="123" spans="1:20" s="227" customFormat="1" ht="12.75">
      <c r="A123" s="234"/>
      <c r="B123" s="98"/>
      <c r="C123" s="98"/>
      <c r="D123" s="98"/>
      <c r="E123" s="129"/>
      <c r="F123" s="235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</row>
    <row r="124" spans="1:20" s="227" customFormat="1" ht="12.75">
      <c r="A124" s="234"/>
      <c r="B124" s="98"/>
      <c r="C124" s="98"/>
      <c r="D124" s="98"/>
      <c r="E124" s="129"/>
      <c r="F124" s="235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8"/>
    </row>
    <row r="125" spans="1:20" s="227" customFormat="1" ht="12.75">
      <c r="A125" s="234"/>
      <c r="B125" s="98"/>
      <c r="C125" s="98"/>
      <c r="D125" s="98"/>
      <c r="E125" s="129"/>
      <c r="F125" s="235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8"/>
    </row>
    <row r="126" spans="1:20" s="227" customFormat="1" ht="12.75">
      <c r="A126" s="234"/>
      <c r="B126" s="98"/>
      <c r="C126" s="98"/>
      <c r="D126" s="98"/>
      <c r="E126" s="129"/>
      <c r="F126" s="235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</row>
    <row r="127" spans="1:20" s="227" customFormat="1" ht="12.75">
      <c r="A127" s="234"/>
      <c r="B127" s="98"/>
      <c r="C127" s="98"/>
      <c r="D127" s="98"/>
      <c r="E127" s="129"/>
      <c r="F127" s="235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</row>
    <row r="128" spans="1:20" s="227" customFormat="1" ht="12.75">
      <c r="A128" s="234"/>
      <c r="B128" s="98"/>
      <c r="C128" s="98"/>
      <c r="D128" s="98"/>
      <c r="E128" s="129"/>
      <c r="F128" s="235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</row>
    <row r="129" spans="1:20" s="227" customFormat="1" ht="12.75">
      <c r="A129" s="234"/>
      <c r="B129" s="98"/>
      <c r="C129" s="98"/>
      <c r="D129" s="98"/>
      <c r="E129" s="129"/>
      <c r="F129" s="235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</row>
    <row r="130" spans="1:20" s="227" customFormat="1" ht="12.75">
      <c r="A130" s="234"/>
      <c r="B130" s="98"/>
      <c r="C130" s="98"/>
      <c r="D130" s="98"/>
      <c r="E130" s="129"/>
      <c r="F130" s="235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98"/>
    </row>
    <row r="131" spans="1:20" s="227" customFormat="1" ht="12.75">
      <c r="A131" s="234"/>
      <c r="B131" s="98"/>
      <c r="C131" s="98"/>
      <c r="D131" s="98"/>
      <c r="E131" s="129"/>
      <c r="F131" s="235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98"/>
    </row>
    <row r="132" spans="1:20" s="227" customFormat="1" ht="12.75">
      <c r="A132" s="234"/>
      <c r="B132" s="98"/>
      <c r="C132" s="98"/>
      <c r="D132" s="98"/>
      <c r="E132" s="129"/>
      <c r="F132" s="235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</row>
    <row r="133" spans="1:20" s="227" customFormat="1" ht="12.75">
      <c r="A133" s="234"/>
      <c r="B133" s="98"/>
      <c r="C133" s="98"/>
      <c r="D133" s="98"/>
      <c r="E133" s="129"/>
      <c r="F133" s="235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98"/>
    </row>
    <row r="134" spans="1:20" s="227" customFormat="1" ht="12.75">
      <c r="A134" s="234"/>
      <c r="B134" s="98"/>
      <c r="C134" s="98"/>
      <c r="D134" s="98"/>
      <c r="E134" s="129"/>
      <c r="F134" s="235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</row>
    <row r="135" spans="1:20" s="227" customFormat="1" ht="12.75">
      <c r="A135" s="234"/>
      <c r="B135" s="98"/>
      <c r="C135" s="98"/>
      <c r="D135" s="98"/>
      <c r="E135" s="129"/>
      <c r="F135" s="235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</row>
    <row r="136" spans="1:20" s="227" customFormat="1" ht="12.75">
      <c r="A136" s="234"/>
      <c r="B136" s="98"/>
      <c r="C136" s="98"/>
      <c r="D136" s="98"/>
      <c r="E136" s="129"/>
      <c r="F136" s="235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</row>
    <row r="137" spans="1:20" s="227" customFormat="1" ht="12.75">
      <c r="A137" s="234"/>
      <c r="B137" s="98"/>
      <c r="C137" s="98"/>
      <c r="D137" s="98"/>
      <c r="E137" s="129"/>
      <c r="F137" s="235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/>
    </row>
    <row r="138" spans="1:20" s="227" customFormat="1" ht="12.75">
      <c r="A138" s="234"/>
      <c r="B138" s="98"/>
      <c r="C138" s="98"/>
      <c r="D138" s="98"/>
      <c r="E138" s="129"/>
      <c r="F138" s="235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</row>
    <row r="139" spans="1:20" s="227" customFormat="1" ht="12.75">
      <c r="A139" s="234"/>
      <c r="B139" s="98"/>
      <c r="C139" s="98"/>
      <c r="D139" s="98"/>
      <c r="E139" s="129"/>
      <c r="F139" s="235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</row>
    <row r="140" spans="1:20" s="227" customFormat="1" ht="12.75">
      <c r="A140" s="234"/>
      <c r="B140" s="98"/>
      <c r="C140" s="98"/>
      <c r="D140" s="98"/>
      <c r="E140" s="129"/>
      <c r="F140" s="235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</row>
    <row r="141" spans="1:20" s="227" customFormat="1" ht="12.75">
      <c r="A141" s="234"/>
      <c r="B141" s="98"/>
      <c r="C141" s="98"/>
      <c r="D141" s="98"/>
      <c r="E141" s="129"/>
      <c r="F141" s="235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98"/>
    </row>
    <row r="142" spans="1:20" s="227" customFormat="1" ht="12.75">
      <c r="A142" s="234"/>
      <c r="B142" s="98"/>
      <c r="C142" s="98"/>
      <c r="D142" s="98"/>
      <c r="E142" s="129"/>
      <c r="F142" s="235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98"/>
    </row>
    <row r="143" spans="1:20" s="227" customFormat="1" ht="12.75">
      <c r="A143" s="234"/>
      <c r="B143" s="98"/>
      <c r="C143" s="98"/>
      <c r="D143" s="98"/>
      <c r="E143" s="129"/>
      <c r="F143" s="235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8"/>
    </row>
    <row r="144" spans="1:20" s="227" customFormat="1" ht="12.75">
      <c r="A144" s="234"/>
      <c r="B144" s="98"/>
      <c r="C144" s="98"/>
      <c r="D144" s="98"/>
      <c r="E144" s="129"/>
      <c r="F144" s="235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98"/>
      <c r="T144" s="98"/>
    </row>
    <row r="145" spans="1:20" s="227" customFormat="1" ht="12.75">
      <c r="A145" s="234"/>
      <c r="B145" s="98"/>
      <c r="C145" s="98"/>
      <c r="D145" s="98"/>
      <c r="E145" s="129"/>
      <c r="F145" s="235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98"/>
    </row>
    <row r="146" spans="1:20" s="227" customFormat="1" ht="12.75">
      <c r="A146" s="234"/>
      <c r="B146" s="98"/>
      <c r="C146" s="98"/>
      <c r="D146" s="98"/>
      <c r="E146" s="129"/>
      <c r="F146" s="235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8"/>
      <c r="S146" s="98"/>
      <c r="T146" s="98"/>
    </row>
    <row r="147" spans="1:20" s="227" customFormat="1" ht="12.75">
      <c r="A147" s="234"/>
      <c r="B147" s="98"/>
      <c r="C147" s="98"/>
      <c r="D147" s="98"/>
      <c r="E147" s="129"/>
      <c r="F147" s="235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</row>
    <row r="148" spans="1:20" s="227" customFormat="1" ht="12.75">
      <c r="A148" s="234"/>
      <c r="B148" s="98"/>
      <c r="C148" s="98"/>
      <c r="D148" s="98"/>
      <c r="E148" s="129"/>
      <c r="F148" s="235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  <c r="R148" s="98"/>
      <c r="S148" s="98"/>
      <c r="T148" s="98"/>
    </row>
    <row r="149" spans="1:20" s="227" customFormat="1" ht="12.75">
      <c r="A149" s="234"/>
      <c r="B149" s="98"/>
      <c r="C149" s="98"/>
      <c r="D149" s="98"/>
      <c r="E149" s="129"/>
      <c r="F149" s="235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8"/>
      <c r="S149" s="98"/>
      <c r="T149" s="98"/>
    </row>
    <row r="150" spans="1:20" s="227" customFormat="1" ht="12.75">
      <c r="A150" s="234"/>
      <c r="B150" s="98"/>
      <c r="C150" s="98"/>
      <c r="D150" s="98"/>
      <c r="E150" s="129"/>
      <c r="F150" s="235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8"/>
      <c r="S150" s="98"/>
      <c r="T150" s="98"/>
    </row>
    <row r="151" spans="1:20" s="227" customFormat="1" ht="12.75">
      <c r="A151" s="234"/>
      <c r="B151" s="98"/>
      <c r="C151" s="98"/>
      <c r="D151" s="98"/>
      <c r="E151" s="129"/>
      <c r="F151" s="235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8"/>
      <c r="S151" s="98"/>
      <c r="T151" s="98"/>
    </row>
    <row r="152" spans="1:20" s="227" customFormat="1" ht="12.75">
      <c r="A152" s="234"/>
      <c r="B152" s="98"/>
      <c r="C152" s="98"/>
      <c r="D152" s="98"/>
      <c r="E152" s="238"/>
      <c r="F152" s="239"/>
      <c r="G152" s="98"/>
      <c r="H152" s="98"/>
      <c r="I152" s="98"/>
      <c r="J152" s="98"/>
      <c r="K152" s="98"/>
      <c r="L152" s="98"/>
      <c r="M152" s="98"/>
      <c r="N152" s="98"/>
      <c r="O152" s="98"/>
      <c r="P152" s="98"/>
      <c r="Q152" s="98"/>
      <c r="R152" s="98"/>
      <c r="S152" s="98"/>
      <c r="T152" s="98"/>
    </row>
    <row r="153" spans="1:20" s="227" customFormat="1" ht="12.75">
      <c r="A153" s="234"/>
      <c r="B153" s="98"/>
      <c r="C153" s="98"/>
      <c r="D153" s="98"/>
      <c r="E153" s="238"/>
      <c r="F153" s="239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8"/>
      <c r="S153" s="98"/>
      <c r="T153" s="98"/>
    </row>
    <row r="154" spans="1:20" s="227" customFormat="1" ht="12.75">
      <c r="A154" s="234"/>
      <c r="B154" s="98"/>
      <c r="C154" s="98"/>
      <c r="D154" s="98"/>
      <c r="E154" s="238"/>
      <c r="F154" s="239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8"/>
      <c r="S154" s="98"/>
      <c r="T154" s="98"/>
    </row>
    <row r="155" spans="1:20" s="227" customFormat="1" ht="12.75">
      <c r="A155" s="234"/>
      <c r="B155" s="98"/>
      <c r="C155" s="98"/>
      <c r="D155" s="98"/>
      <c r="E155" s="238"/>
      <c r="F155" s="239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8"/>
      <c r="S155" s="98"/>
      <c r="T155" s="98"/>
    </row>
    <row r="156" spans="1:20" s="227" customFormat="1" ht="12.75">
      <c r="A156" s="234"/>
      <c r="B156" s="98"/>
      <c r="C156" s="98"/>
      <c r="D156" s="98"/>
      <c r="E156" s="238"/>
      <c r="F156" s="239"/>
      <c r="G156" s="98"/>
      <c r="H156" s="98"/>
      <c r="I156" s="98"/>
      <c r="J156" s="98"/>
      <c r="K156" s="98"/>
      <c r="L156" s="98"/>
      <c r="M156" s="98"/>
      <c r="N156" s="98"/>
      <c r="O156" s="98"/>
      <c r="P156" s="98"/>
      <c r="Q156" s="98"/>
      <c r="R156" s="98"/>
      <c r="S156" s="98"/>
      <c r="T156" s="98"/>
    </row>
    <row r="157" spans="1:20" s="227" customFormat="1" ht="12.75">
      <c r="A157" s="234"/>
      <c r="B157" s="98"/>
      <c r="C157" s="98"/>
      <c r="D157" s="98"/>
      <c r="E157" s="238"/>
      <c r="F157" s="239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8"/>
      <c r="S157" s="98"/>
      <c r="T157" s="98"/>
    </row>
    <row r="158" spans="1:20" s="227" customFormat="1" ht="12.75">
      <c r="A158" s="234"/>
      <c r="B158" s="98"/>
      <c r="C158" s="98"/>
      <c r="D158" s="98"/>
      <c r="E158" s="238"/>
      <c r="F158" s="239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8"/>
      <c r="S158" s="98"/>
      <c r="T158" s="98"/>
    </row>
    <row r="159" spans="1:20" s="227" customFormat="1" ht="12.75">
      <c r="A159" s="234"/>
      <c r="B159" s="98"/>
      <c r="C159" s="98"/>
      <c r="D159" s="98"/>
      <c r="E159" s="238"/>
      <c r="F159" s="239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</row>
    <row r="160" spans="1:20" s="227" customFormat="1" ht="12.75">
      <c r="A160" s="234"/>
      <c r="B160" s="98"/>
      <c r="C160" s="98"/>
      <c r="D160" s="98"/>
      <c r="E160" s="238"/>
      <c r="F160" s="239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</row>
    <row r="161" spans="1:20" s="227" customFormat="1" ht="12.75">
      <c r="A161" s="234"/>
      <c r="B161" s="98"/>
      <c r="C161" s="98"/>
      <c r="D161" s="98"/>
      <c r="E161" s="238"/>
      <c r="F161" s="239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8"/>
      <c r="S161" s="98"/>
      <c r="T161" s="98"/>
    </row>
    <row r="162" spans="1:20" s="227" customFormat="1" ht="12.75">
      <c r="A162" s="234"/>
      <c r="B162" s="98"/>
      <c r="C162" s="98"/>
      <c r="D162" s="98"/>
      <c r="E162" s="238"/>
      <c r="F162" s="239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</row>
    <row r="163" spans="1:20" s="227" customFormat="1" ht="12.75">
      <c r="A163" s="234"/>
      <c r="B163" s="98"/>
      <c r="C163" s="98"/>
      <c r="D163" s="98"/>
      <c r="E163" s="238"/>
      <c r="F163" s="239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98"/>
    </row>
    <row r="164" spans="1:20" s="227" customFormat="1" ht="12.75">
      <c r="A164" s="234"/>
      <c r="B164" s="98"/>
      <c r="C164" s="98"/>
      <c r="D164" s="98"/>
      <c r="E164" s="238"/>
      <c r="F164" s="239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98"/>
    </row>
    <row r="165" spans="1:20" s="227" customFormat="1" ht="12.75">
      <c r="A165" s="234"/>
      <c r="B165" s="98"/>
      <c r="C165" s="98"/>
      <c r="D165" s="98"/>
      <c r="E165" s="238"/>
      <c r="F165" s="239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98"/>
    </row>
    <row r="166" spans="1:20" s="227" customFormat="1" ht="12.75">
      <c r="A166" s="234"/>
      <c r="B166" s="98"/>
      <c r="C166" s="98"/>
      <c r="D166" s="98"/>
      <c r="E166" s="238"/>
      <c r="F166" s="239"/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8"/>
      <c r="R166" s="98"/>
      <c r="S166" s="98"/>
      <c r="T166" s="98"/>
    </row>
    <row r="167" spans="1:20" s="227" customFormat="1" ht="12.75">
      <c r="A167" s="234"/>
      <c r="B167" s="98"/>
      <c r="C167" s="98"/>
      <c r="D167" s="98"/>
      <c r="E167" s="238"/>
      <c r="F167" s="239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8"/>
      <c r="S167" s="98"/>
      <c r="T167" s="98"/>
    </row>
    <row r="168" spans="1:20" s="227" customFormat="1" ht="12.75">
      <c r="A168" s="234"/>
      <c r="B168" s="98"/>
      <c r="C168" s="98"/>
      <c r="D168" s="98"/>
      <c r="E168" s="238"/>
      <c r="F168" s="239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  <c r="R168" s="98"/>
      <c r="S168" s="98"/>
      <c r="T168" s="98"/>
    </row>
    <row r="169" spans="1:20" s="227" customFormat="1" ht="12.75">
      <c r="A169" s="234"/>
      <c r="B169" s="98"/>
      <c r="C169" s="98"/>
      <c r="D169" s="98"/>
      <c r="E169" s="238"/>
      <c r="F169" s="239"/>
      <c r="G169" s="98"/>
      <c r="H169" s="98"/>
      <c r="I169" s="98"/>
      <c r="J169" s="98"/>
      <c r="K169" s="98"/>
      <c r="L169" s="98"/>
      <c r="M169" s="98"/>
      <c r="N169" s="98"/>
      <c r="O169" s="98"/>
      <c r="P169" s="98"/>
      <c r="Q169" s="98"/>
      <c r="R169" s="98"/>
      <c r="S169" s="98"/>
      <c r="T169" s="98"/>
    </row>
    <row r="170" spans="1:20" s="227" customFormat="1" ht="12.75">
      <c r="A170" s="234"/>
      <c r="B170" s="98"/>
      <c r="C170" s="98"/>
      <c r="D170" s="98"/>
      <c r="E170" s="238"/>
      <c r="F170" s="239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98"/>
    </row>
    <row r="171" spans="1:20" s="227" customFormat="1" ht="12.75">
      <c r="A171" s="234"/>
      <c r="B171" s="98"/>
      <c r="C171" s="98"/>
      <c r="D171" s="98"/>
      <c r="E171" s="238"/>
      <c r="F171" s="239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</row>
    <row r="172" spans="1:20" s="227" customFormat="1" ht="12.75">
      <c r="A172" s="234"/>
      <c r="B172" s="98"/>
      <c r="C172" s="98"/>
      <c r="D172" s="98"/>
      <c r="E172" s="238"/>
      <c r="F172" s="239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</row>
    <row r="173" spans="1:20" s="227" customFormat="1" ht="12.75">
      <c r="A173" s="234"/>
      <c r="B173" s="98"/>
      <c r="C173" s="98"/>
      <c r="D173" s="98"/>
      <c r="E173" s="238"/>
      <c r="F173" s="239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98"/>
    </row>
    <row r="174" spans="1:20" s="227" customFormat="1" ht="12.75">
      <c r="A174" s="234"/>
      <c r="B174" s="98"/>
      <c r="C174" s="98"/>
      <c r="D174" s="98"/>
      <c r="E174" s="238"/>
      <c r="F174" s="239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98"/>
    </row>
    <row r="175" spans="1:20" s="227" customFormat="1" ht="12.75">
      <c r="A175" s="234"/>
      <c r="B175" s="98"/>
      <c r="C175" s="98"/>
      <c r="D175" s="98"/>
      <c r="E175" s="238"/>
      <c r="F175" s="239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98"/>
    </row>
    <row r="176" spans="1:20" s="227" customFormat="1" ht="12.75">
      <c r="A176" s="234"/>
      <c r="B176" s="98"/>
      <c r="C176" s="98"/>
      <c r="D176" s="98"/>
      <c r="E176" s="238"/>
      <c r="F176" s="239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</row>
    <row r="177" spans="1:20" s="227" customFormat="1" ht="12.75">
      <c r="A177" s="234"/>
      <c r="B177" s="98"/>
      <c r="C177" s="98"/>
      <c r="D177" s="98"/>
      <c r="E177" s="238"/>
      <c r="F177" s="239"/>
      <c r="G177" s="98"/>
      <c r="H177" s="98"/>
      <c r="I177" s="98"/>
      <c r="J177" s="98"/>
      <c r="K177" s="98"/>
      <c r="L177" s="98"/>
      <c r="M177" s="98"/>
      <c r="N177" s="98"/>
      <c r="O177" s="98"/>
      <c r="P177" s="98"/>
      <c r="Q177" s="98"/>
      <c r="R177" s="98"/>
      <c r="S177" s="98"/>
      <c r="T177" s="98"/>
    </row>
    <row r="178" spans="1:20" s="227" customFormat="1" ht="12.75">
      <c r="A178" s="234"/>
      <c r="B178" s="98"/>
      <c r="C178" s="98"/>
      <c r="D178" s="98"/>
      <c r="E178" s="238"/>
      <c r="F178" s="239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  <c r="R178" s="98"/>
      <c r="S178" s="98"/>
      <c r="T178" s="98"/>
    </row>
    <row r="179" spans="1:20" s="227" customFormat="1" ht="12.75">
      <c r="A179" s="234"/>
      <c r="B179" s="98"/>
      <c r="C179" s="98"/>
      <c r="D179" s="98"/>
      <c r="E179" s="238"/>
      <c r="F179" s="239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8"/>
      <c r="S179" s="98"/>
      <c r="T179" s="98"/>
    </row>
    <row r="180" spans="1:20" s="227" customFormat="1" ht="12.75">
      <c r="A180" s="234"/>
      <c r="B180" s="98"/>
      <c r="C180" s="98"/>
      <c r="D180" s="98"/>
      <c r="E180" s="238"/>
      <c r="F180" s="239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8"/>
      <c r="S180" s="98"/>
      <c r="T180" s="98"/>
    </row>
    <row r="181" spans="1:20" s="227" customFormat="1" ht="12.75">
      <c r="A181" s="234"/>
      <c r="B181" s="98"/>
      <c r="C181" s="98"/>
      <c r="D181" s="98"/>
      <c r="E181" s="238"/>
      <c r="F181" s="239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98"/>
      <c r="R181" s="98"/>
      <c r="S181" s="98"/>
      <c r="T181" s="98"/>
    </row>
    <row r="182" spans="1:20" s="227" customFormat="1" ht="12.75">
      <c r="A182" s="234"/>
      <c r="B182" s="98"/>
      <c r="C182" s="98"/>
      <c r="D182" s="98"/>
      <c r="E182" s="238"/>
      <c r="F182" s="239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8"/>
      <c r="S182" s="98"/>
      <c r="T182" s="98"/>
    </row>
    <row r="183" spans="1:20" s="227" customFormat="1" ht="12.75">
      <c r="A183" s="234"/>
      <c r="B183" s="98"/>
      <c r="C183" s="98"/>
      <c r="D183" s="98"/>
      <c r="E183" s="238"/>
      <c r="F183" s="239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8"/>
      <c r="S183" s="98"/>
      <c r="T183" s="98"/>
    </row>
    <row r="184" spans="1:20" s="227" customFormat="1" ht="12.75">
      <c r="A184" s="234"/>
      <c r="B184" s="98"/>
      <c r="C184" s="98"/>
      <c r="D184" s="98"/>
      <c r="E184" s="238"/>
      <c r="F184" s="239"/>
      <c r="G184" s="98"/>
      <c r="H184" s="98"/>
      <c r="I184" s="98"/>
      <c r="J184" s="98"/>
      <c r="K184" s="98"/>
      <c r="L184" s="98"/>
      <c r="M184" s="98"/>
      <c r="N184" s="98"/>
      <c r="O184" s="98"/>
      <c r="P184" s="98"/>
      <c r="Q184" s="98"/>
      <c r="R184" s="98"/>
      <c r="S184" s="98"/>
      <c r="T184" s="98"/>
    </row>
    <row r="185" spans="1:20" s="227" customFormat="1" ht="12.75">
      <c r="A185" s="234"/>
      <c r="B185" s="98"/>
      <c r="C185" s="98"/>
      <c r="D185" s="98"/>
      <c r="E185" s="238"/>
      <c r="F185" s="239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98"/>
      <c r="S185" s="98"/>
      <c r="T185" s="98"/>
    </row>
    <row r="186" spans="1:20" s="227" customFormat="1" ht="12.75">
      <c r="A186" s="234"/>
      <c r="B186" s="98"/>
      <c r="C186" s="98"/>
      <c r="D186" s="98"/>
      <c r="E186" s="238"/>
      <c r="F186" s="239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8"/>
      <c r="S186" s="98"/>
      <c r="T186" s="98"/>
    </row>
    <row r="187" spans="1:20" s="227" customFormat="1" ht="12.75">
      <c r="A187" s="234"/>
      <c r="B187" s="98"/>
      <c r="C187" s="98"/>
      <c r="D187" s="98"/>
      <c r="E187" s="238"/>
      <c r="F187" s="239"/>
      <c r="G187" s="98"/>
      <c r="H187" s="98"/>
      <c r="I187" s="98"/>
      <c r="J187" s="98"/>
      <c r="K187" s="98"/>
      <c r="L187" s="98"/>
      <c r="M187" s="98"/>
      <c r="N187" s="98"/>
      <c r="O187" s="98"/>
      <c r="P187" s="98"/>
      <c r="Q187" s="98"/>
      <c r="R187" s="98"/>
      <c r="S187" s="98"/>
      <c r="T187" s="98"/>
    </row>
    <row r="188" spans="1:20" s="227" customFormat="1" ht="12.75">
      <c r="A188" s="234"/>
      <c r="B188" s="98"/>
      <c r="C188" s="98"/>
      <c r="D188" s="98"/>
      <c r="E188" s="238"/>
      <c r="F188" s="239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8"/>
      <c r="S188" s="98"/>
      <c r="T188" s="98"/>
    </row>
    <row r="189" spans="1:20" s="227" customFormat="1" ht="12.75">
      <c r="A189" s="234"/>
      <c r="B189" s="98"/>
      <c r="C189" s="98"/>
      <c r="D189" s="98"/>
      <c r="E189" s="238"/>
      <c r="F189" s="239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  <c r="R189" s="98"/>
      <c r="S189" s="98"/>
      <c r="T189" s="98"/>
    </row>
    <row r="190" spans="1:20" s="227" customFormat="1" ht="12.75">
      <c r="A190" s="234"/>
      <c r="B190" s="98"/>
      <c r="C190" s="98"/>
      <c r="D190" s="98"/>
      <c r="E190" s="238"/>
      <c r="F190" s="239"/>
      <c r="G190" s="98"/>
      <c r="H190" s="98"/>
      <c r="I190" s="98"/>
      <c r="J190" s="98"/>
      <c r="K190" s="98"/>
      <c r="L190" s="98"/>
      <c r="M190" s="98"/>
      <c r="N190" s="98"/>
      <c r="O190" s="98"/>
      <c r="P190" s="98"/>
      <c r="Q190" s="98"/>
      <c r="R190" s="98"/>
      <c r="S190" s="98"/>
      <c r="T190" s="98"/>
    </row>
    <row r="191" spans="1:20" s="227" customFormat="1" ht="12.75">
      <c r="A191" s="234"/>
      <c r="B191" s="98"/>
      <c r="C191" s="98"/>
      <c r="D191" s="98"/>
      <c r="E191" s="238"/>
      <c r="F191" s="239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8"/>
      <c r="S191" s="98"/>
      <c r="T191" s="98"/>
    </row>
    <row r="192" spans="1:20" s="227" customFormat="1" ht="12.75">
      <c r="A192" s="234"/>
      <c r="B192" s="98"/>
      <c r="C192" s="98"/>
      <c r="D192" s="98"/>
      <c r="E192" s="238"/>
      <c r="F192" s="239"/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8"/>
      <c r="R192" s="98"/>
      <c r="S192" s="98"/>
      <c r="T192" s="98"/>
    </row>
    <row r="193" spans="1:20" s="227" customFormat="1" ht="12.75">
      <c r="A193" s="234"/>
      <c r="B193" s="98"/>
      <c r="C193" s="98"/>
      <c r="D193" s="98"/>
      <c r="E193" s="238"/>
      <c r="F193" s="239"/>
      <c r="G193" s="98"/>
      <c r="H193" s="98"/>
      <c r="I193" s="98"/>
      <c r="J193" s="98"/>
      <c r="K193" s="98"/>
      <c r="L193" s="98"/>
      <c r="M193" s="98"/>
      <c r="N193" s="98"/>
      <c r="O193" s="98"/>
      <c r="P193" s="98"/>
      <c r="Q193" s="98"/>
      <c r="R193" s="98"/>
      <c r="S193" s="98"/>
      <c r="T193" s="98"/>
    </row>
    <row r="194" spans="1:20" s="227" customFormat="1" ht="12.75">
      <c r="A194" s="234"/>
      <c r="B194" s="98"/>
      <c r="C194" s="98"/>
      <c r="D194" s="98"/>
      <c r="E194" s="238"/>
      <c r="F194" s="239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  <c r="R194" s="98"/>
      <c r="S194" s="98"/>
      <c r="T194" s="98"/>
    </row>
    <row r="195" spans="1:20" s="227" customFormat="1" ht="12.75">
      <c r="A195" s="234"/>
      <c r="B195" s="98"/>
      <c r="C195" s="98"/>
      <c r="D195" s="98"/>
      <c r="E195" s="238"/>
      <c r="F195" s="239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  <c r="R195" s="98"/>
      <c r="S195" s="98"/>
      <c r="T195" s="98"/>
    </row>
    <row r="196" spans="1:20" s="227" customFormat="1" ht="12.75">
      <c r="A196" s="234"/>
      <c r="B196" s="98"/>
      <c r="C196" s="98"/>
      <c r="D196" s="98"/>
      <c r="E196" s="238"/>
      <c r="F196" s="239"/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8"/>
      <c r="R196" s="98"/>
      <c r="S196" s="98"/>
      <c r="T196" s="98"/>
    </row>
    <row r="197" spans="1:20" s="227" customFormat="1" ht="12.75">
      <c r="A197" s="234"/>
      <c r="B197" s="98"/>
      <c r="C197" s="98"/>
      <c r="D197" s="98"/>
      <c r="E197" s="238"/>
      <c r="F197" s="239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</row>
    <row r="198" spans="1:20" s="227" customFormat="1" ht="12.75">
      <c r="A198" s="234"/>
      <c r="B198" s="98"/>
      <c r="C198" s="98"/>
      <c r="D198" s="98"/>
      <c r="E198" s="238"/>
      <c r="F198" s="239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  <c r="R198" s="98"/>
      <c r="S198" s="98"/>
      <c r="T198" s="98"/>
    </row>
    <row r="199" spans="1:20" s="227" customFormat="1" ht="12.75">
      <c r="A199" s="234"/>
      <c r="B199" s="98"/>
      <c r="C199" s="98"/>
      <c r="D199" s="98"/>
      <c r="E199" s="238"/>
      <c r="F199" s="239"/>
      <c r="G199" s="98"/>
      <c r="H199" s="98"/>
      <c r="I199" s="98"/>
      <c r="J199" s="98"/>
      <c r="K199" s="98"/>
      <c r="L199" s="98"/>
      <c r="M199" s="98"/>
      <c r="N199" s="98"/>
      <c r="O199" s="98"/>
      <c r="P199" s="98"/>
      <c r="Q199" s="98"/>
      <c r="R199" s="98"/>
      <c r="S199" s="98"/>
      <c r="T199" s="98"/>
    </row>
    <row r="200" spans="1:20" s="227" customFormat="1" ht="12.75">
      <c r="A200" s="234"/>
      <c r="B200" s="98"/>
      <c r="C200" s="98"/>
      <c r="D200" s="98"/>
      <c r="E200" s="238"/>
      <c r="F200" s="239"/>
      <c r="G200" s="98"/>
      <c r="H200" s="98"/>
      <c r="I200" s="98"/>
      <c r="J200" s="98"/>
      <c r="K200" s="98"/>
      <c r="L200" s="98"/>
      <c r="M200" s="98"/>
      <c r="N200" s="98"/>
      <c r="O200" s="98"/>
      <c r="P200" s="98"/>
      <c r="Q200" s="98"/>
      <c r="R200" s="98"/>
      <c r="S200" s="98"/>
      <c r="T200" s="98"/>
    </row>
    <row r="201" spans="1:20" s="227" customFormat="1" ht="12.75">
      <c r="A201" s="234"/>
      <c r="B201" s="98"/>
      <c r="C201" s="98"/>
      <c r="D201" s="98"/>
      <c r="E201" s="238"/>
      <c r="F201" s="239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  <c r="S201" s="98"/>
      <c r="T201" s="98"/>
    </row>
    <row r="202" spans="1:20" s="227" customFormat="1" ht="12.75">
      <c r="A202" s="234"/>
      <c r="B202" s="98"/>
      <c r="C202" s="98"/>
      <c r="D202" s="98"/>
      <c r="E202" s="238"/>
      <c r="F202" s="239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8"/>
      <c r="S202" s="98"/>
      <c r="T202" s="98"/>
    </row>
    <row r="203" spans="1:20" s="227" customFormat="1" ht="12.75">
      <c r="A203" s="234"/>
      <c r="B203" s="98"/>
      <c r="C203" s="98"/>
      <c r="D203" s="98"/>
      <c r="E203" s="238"/>
      <c r="F203" s="239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/>
      <c r="R203" s="98"/>
      <c r="S203" s="98"/>
      <c r="T203" s="98"/>
    </row>
    <row r="204" spans="1:20" s="227" customFormat="1" ht="12.75">
      <c r="A204" s="234"/>
      <c r="B204" s="98"/>
      <c r="C204" s="98"/>
      <c r="D204" s="98"/>
      <c r="E204" s="238"/>
      <c r="F204" s="239"/>
      <c r="G204" s="98"/>
      <c r="H204" s="98"/>
      <c r="I204" s="98"/>
      <c r="J204" s="98"/>
      <c r="K204" s="98"/>
      <c r="L204" s="98"/>
      <c r="M204" s="98"/>
      <c r="N204" s="98"/>
      <c r="O204" s="98"/>
      <c r="P204" s="98"/>
      <c r="Q204" s="98"/>
      <c r="R204" s="98"/>
      <c r="S204" s="98"/>
      <c r="T204" s="98"/>
    </row>
    <row r="205" spans="1:20" s="227" customFormat="1" ht="12.75">
      <c r="A205" s="234"/>
      <c r="B205" s="98"/>
      <c r="C205" s="98"/>
      <c r="D205" s="98"/>
      <c r="E205" s="238"/>
      <c r="F205" s="239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98"/>
      <c r="S205" s="98"/>
      <c r="T205" s="98"/>
    </row>
    <row r="206" spans="1:20" s="227" customFormat="1" ht="12.75">
      <c r="A206" s="234"/>
      <c r="B206" s="98"/>
      <c r="C206" s="98"/>
      <c r="D206" s="98"/>
      <c r="E206" s="238"/>
      <c r="F206" s="239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  <c r="R206" s="98"/>
      <c r="S206" s="98"/>
      <c r="T206" s="98"/>
    </row>
    <row r="207" spans="1:20" s="227" customFormat="1" ht="12.75">
      <c r="A207" s="234"/>
      <c r="B207" s="98"/>
      <c r="C207" s="98"/>
      <c r="D207" s="98"/>
      <c r="E207" s="238"/>
      <c r="F207" s="239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8"/>
      <c r="S207" s="98"/>
      <c r="T207" s="98"/>
    </row>
    <row r="208" spans="1:20" s="227" customFormat="1" ht="12.75">
      <c r="A208" s="234"/>
      <c r="B208" s="98"/>
      <c r="C208" s="98"/>
      <c r="D208" s="98"/>
      <c r="E208" s="238"/>
      <c r="F208" s="239"/>
      <c r="G208" s="98"/>
      <c r="H208" s="98"/>
      <c r="I208" s="98"/>
      <c r="J208" s="98"/>
      <c r="K208" s="98"/>
      <c r="L208" s="98"/>
      <c r="M208" s="98"/>
      <c r="N208" s="98"/>
      <c r="O208" s="98"/>
      <c r="P208" s="98"/>
      <c r="Q208" s="98"/>
      <c r="R208" s="98"/>
      <c r="S208" s="98"/>
      <c r="T208" s="98"/>
    </row>
    <row r="209" spans="1:20" s="227" customFormat="1" ht="12.75">
      <c r="A209" s="234"/>
      <c r="B209" s="98"/>
      <c r="C209" s="98"/>
      <c r="D209" s="98"/>
      <c r="E209" s="238"/>
      <c r="F209" s="239"/>
      <c r="G209" s="98"/>
      <c r="H209" s="98"/>
      <c r="I209" s="98"/>
      <c r="J209" s="98"/>
      <c r="K209" s="98"/>
      <c r="L209" s="98"/>
      <c r="M209" s="98"/>
      <c r="N209" s="98"/>
      <c r="O209" s="98"/>
      <c r="P209" s="98"/>
      <c r="Q209" s="98"/>
      <c r="R209" s="98"/>
      <c r="S209" s="98"/>
      <c r="T209" s="98"/>
    </row>
    <row r="210" spans="1:20" s="227" customFormat="1" ht="12.75">
      <c r="A210" s="234"/>
      <c r="B210" s="98"/>
      <c r="C210" s="98"/>
      <c r="D210" s="98"/>
      <c r="E210" s="238"/>
      <c r="F210" s="239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  <c r="R210" s="98"/>
      <c r="S210" s="98"/>
      <c r="T210" s="98"/>
    </row>
    <row r="211" spans="1:20" s="227" customFormat="1" ht="12.75">
      <c r="A211" s="234"/>
      <c r="B211" s="98"/>
      <c r="C211" s="98"/>
      <c r="D211" s="98"/>
      <c r="E211" s="238"/>
      <c r="F211" s="239"/>
      <c r="G211" s="98"/>
      <c r="H211" s="98"/>
      <c r="I211" s="98"/>
      <c r="J211" s="98"/>
      <c r="K211" s="98"/>
      <c r="L211" s="98"/>
      <c r="M211" s="98"/>
      <c r="N211" s="98"/>
      <c r="O211" s="98"/>
      <c r="P211" s="98"/>
      <c r="Q211" s="98"/>
      <c r="R211" s="98"/>
      <c r="S211" s="98"/>
      <c r="T211" s="98"/>
    </row>
  </sheetData>
  <sheetProtection/>
  <mergeCells count="9">
    <mergeCell ref="B62:C62"/>
    <mergeCell ref="B72:C72"/>
    <mergeCell ref="A2:C2"/>
    <mergeCell ref="E2:G2"/>
    <mergeCell ref="H2:I2"/>
    <mergeCell ref="D3:D4"/>
    <mergeCell ref="E3:E4"/>
    <mergeCell ref="F3:F4"/>
    <mergeCell ref="G3:G4"/>
  </mergeCells>
  <printOptions/>
  <pageMargins left="0.35433070866141736" right="0.15748031496062992" top="0.984251968503937" bottom="0.3937007874015748" header="0.5118110236220472" footer="0.5118110236220472"/>
  <pageSetup fitToHeight="4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7"/>
  <sheetViews>
    <sheetView showZeros="0" zoomScalePageLayoutView="0" workbookViewId="0" topLeftCell="A1">
      <selection activeCell="K8" sqref="K8"/>
    </sheetView>
  </sheetViews>
  <sheetFormatPr defaultColWidth="9.140625" defaultRowHeight="12.75"/>
  <cols>
    <col min="1" max="1" width="5.140625" style="1" customWidth="1"/>
    <col min="2" max="2" width="45.8515625" style="84" customWidth="1"/>
    <col min="3" max="3" width="4.00390625" style="85" customWidth="1"/>
    <col min="4" max="4" width="11.421875" style="86" hidden="1" customWidth="1"/>
    <col min="5" max="5" width="12.8515625" style="1" customWidth="1"/>
    <col min="6" max="6" width="11.8515625" style="1" customWidth="1"/>
    <col min="7" max="7" width="11.00390625" style="1" hidden="1" customWidth="1"/>
    <col min="8" max="8" width="5.7109375" style="1" customWidth="1"/>
    <col min="9" max="9" width="10.140625" style="1" bestFit="1" customWidth="1"/>
    <col min="10" max="10" width="10.8515625" style="1" hidden="1" customWidth="1"/>
    <col min="11" max="11" width="11.00390625" style="1" customWidth="1"/>
    <col min="12" max="16384" width="9.140625" style="1" customWidth="1"/>
  </cols>
  <sheetData>
    <row r="1" spans="2:4" ht="15">
      <c r="B1" s="90" t="s">
        <v>0</v>
      </c>
      <c r="C1" s="90"/>
      <c r="D1" s="90"/>
    </row>
    <row r="2" spans="2:4" ht="28.5">
      <c r="B2" s="2" t="s">
        <v>1</v>
      </c>
      <c r="C2" s="3"/>
      <c r="D2" s="4"/>
    </row>
    <row r="3" spans="2:10" ht="45">
      <c r="B3" s="5"/>
      <c r="C3" s="6"/>
      <c r="D3" s="7" t="s">
        <v>2</v>
      </c>
      <c r="E3" s="8" t="s">
        <v>3</v>
      </c>
      <c r="F3" s="8" t="s">
        <v>4</v>
      </c>
      <c r="G3" s="9" t="s">
        <v>18</v>
      </c>
      <c r="H3" s="9" t="s">
        <v>5</v>
      </c>
      <c r="J3" s="1" t="s">
        <v>6</v>
      </c>
    </row>
    <row r="4" spans="2:13" ht="15">
      <c r="B4" s="10" t="s">
        <v>7</v>
      </c>
      <c r="C4" s="11"/>
      <c r="D4" s="12">
        <f>SUM(D5,D7,D8)</f>
        <v>26061007</v>
      </c>
      <c r="E4" s="12">
        <f>SUM(E5,E7,E8)</f>
        <v>29508093</v>
      </c>
      <c r="F4" s="12">
        <f>SUM(F5,F7,F8)</f>
        <v>17328111.519999996</v>
      </c>
      <c r="G4" s="12">
        <f>SUM(G5,G7,G8)</f>
        <v>2610876.3999999994</v>
      </c>
      <c r="H4" s="33">
        <f>ROUND(F4/E4*100,1)</f>
        <v>58.7</v>
      </c>
      <c r="I4" s="14"/>
      <c r="J4" s="15"/>
      <c r="K4" s="14"/>
      <c r="L4" s="14"/>
      <c r="M4" s="14"/>
    </row>
    <row r="5" spans="2:8" ht="24">
      <c r="B5" s="16" t="s">
        <v>8</v>
      </c>
      <c r="C5" s="17" t="s">
        <v>9</v>
      </c>
      <c r="D5" s="18">
        <f>SUMIF($C13:$C205,$C5,D13:D205)</f>
        <v>23955627</v>
      </c>
      <c r="E5" s="18">
        <f>SUMIF($C13:$C206,$C5,E13:E206)</f>
        <v>27335680</v>
      </c>
      <c r="F5" s="18">
        <f>SUMIF($C13:$C206,$C5,F13:F206)</f>
        <v>15908144.979999995</v>
      </c>
      <c r="G5" s="18">
        <f>SUMIF($C13:$C206,$C5,G13:G206)</f>
        <v>2391338.1799999997</v>
      </c>
      <c r="H5" s="9">
        <f aca="true" t="shared" si="0" ref="H5:H102">ROUND(F5/E5*100,1)</f>
        <v>58.2</v>
      </c>
    </row>
    <row r="6" spans="2:8" ht="15">
      <c r="B6" s="16" t="s">
        <v>10</v>
      </c>
      <c r="C6" s="17"/>
      <c r="D6" s="18" t="e">
        <f>SUM(D25,D71,D74,D100,D109,D181,#REF!)</f>
        <v>#REF!</v>
      </c>
      <c r="E6" s="18">
        <f>SUM(E25,E71,E74,E100,E109,E181,E57,E172)</f>
        <v>15748145</v>
      </c>
      <c r="F6" s="18">
        <f>SUM(F25,F71,F74,F100,F109,F181,F57,F172)</f>
        <v>10076757.64</v>
      </c>
      <c r="G6" s="18">
        <f>SUM(G25,G71,G74,G100,G109,G181,G57,G172)</f>
        <v>1119322.8</v>
      </c>
      <c r="H6" s="9">
        <f t="shared" si="0"/>
        <v>64</v>
      </c>
    </row>
    <row r="7" spans="2:8" ht="30">
      <c r="B7" s="8" t="s">
        <v>11</v>
      </c>
      <c r="C7" s="19" t="s">
        <v>12</v>
      </c>
      <c r="D7" s="18">
        <f>SUMIF($C13:$C205,$C7,D13:D205)</f>
        <v>768688</v>
      </c>
      <c r="E7" s="18">
        <f>SUMIF($C13:$C206,$C7,E13:E206)</f>
        <v>851738</v>
      </c>
      <c r="F7" s="18">
        <f>SUMIF($C13:$C206,$C7,F13:F206)</f>
        <v>628476.25</v>
      </c>
      <c r="G7" s="18">
        <f>SUMIF($C13:$C206,$C7,G13:G206)</f>
        <v>73680</v>
      </c>
      <c r="H7" s="9">
        <f>ROUND(F7/E7*100,1)</f>
        <v>73.8</v>
      </c>
    </row>
    <row r="8" spans="2:8" ht="15">
      <c r="B8" s="8" t="s">
        <v>13</v>
      </c>
      <c r="C8" s="19" t="s">
        <v>14</v>
      </c>
      <c r="D8" s="18">
        <f>SUMIF($C13:$C205,$C8,D13:D205)</f>
        <v>1336692</v>
      </c>
      <c r="E8" s="18">
        <f>SUMIF($C13:$C206,$C8,E13:E205)</f>
        <v>1320675</v>
      </c>
      <c r="F8" s="18">
        <f>SUMIF($C13:$C205,$C8,F13:F206)</f>
        <v>791490.29</v>
      </c>
      <c r="G8" s="18">
        <f>SUMIF($C13:$C205,$C8,G13:G206)</f>
        <v>145858.21999999997</v>
      </c>
      <c r="H8" s="9">
        <f t="shared" si="0"/>
        <v>59.9</v>
      </c>
    </row>
    <row r="9" spans="2:7" ht="9" customHeight="1">
      <c r="B9" s="20"/>
      <c r="C9" s="21"/>
      <c r="D9" s="22"/>
      <c r="F9" s="14"/>
      <c r="G9" s="14"/>
    </row>
    <row r="10" spans="2:7" ht="15">
      <c r="B10" s="91" t="s">
        <v>15</v>
      </c>
      <c r="C10" s="91"/>
      <c r="D10" s="91"/>
      <c r="F10" s="14"/>
      <c r="G10" s="14"/>
    </row>
    <row r="11" spans="2:7" ht="9" customHeight="1">
      <c r="B11" s="23"/>
      <c r="C11" s="24"/>
      <c r="D11" s="25"/>
      <c r="F11" s="14"/>
      <c r="G11" s="14"/>
    </row>
    <row r="12" spans="2:8" ht="27" customHeight="1">
      <c r="B12" s="26"/>
      <c r="C12" s="27"/>
      <c r="D12" s="28" t="s">
        <v>16</v>
      </c>
      <c r="E12" s="28" t="s">
        <v>17</v>
      </c>
      <c r="F12" s="29" t="s">
        <v>4</v>
      </c>
      <c r="G12" s="18" t="s">
        <v>18</v>
      </c>
      <c r="H12" s="9" t="s">
        <v>5</v>
      </c>
    </row>
    <row r="13" spans="2:13" ht="25.5" customHeight="1">
      <c r="B13" s="30" t="s">
        <v>19</v>
      </c>
      <c r="C13" s="31"/>
      <c r="D13" s="32">
        <f>SUM(D14)</f>
        <v>1366692</v>
      </c>
      <c r="E13" s="32">
        <f>SUM(E14)</f>
        <v>1350675</v>
      </c>
      <c r="F13" s="32">
        <f>SUM(F14)</f>
        <v>796568.29</v>
      </c>
      <c r="G13" s="32">
        <f>SUM(G14)</f>
        <v>145858.21999999997</v>
      </c>
      <c r="H13" s="33">
        <f>ROUND(F13/E13*100,1)</f>
        <v>59</v>
      </c>
      <c r="J13" s="34"/>
      <c r="K13" s="87"/>
      <c r="L13" s="87"/>
      <c r="M13" s="88"/>
    </row>
    <row r="14" spans="2:13" ht="15">
      <c r="B14" s="30" t="s">
        <v>21</v>
      </c>
      <c r="C14" s="31"/>
      <c r="D14" s="36">
        <f>SUM(D15:D20)</f>
        <v>1366692</v>
      </c>
      <c r="E14" s="36">
        <f>SUM(E15:E20)</f>
        <v>1350675</v>
      </c>
      <c r="F14" s="36">
        <f>SUM(F15:F20)</f>
        <v>796568.29</v>
      </c>
      <c r="G14" s="36">
        <f>SUM(G15:G20)</f>
        <v>145858.21999999997</v>
      </c>
      <c r="H14" s="13">
        <f aca="true" t="shared" si="1" ref="H14:H20">ROUND(F14/E14*100,1)</f>
        <v>59</v>
      </c>
      <c r="J14" s="37"/>
      <c r="K14" s="37"/>
      <c r="L14" s="37"/>
      <c r="M14" s="38"/>
    </row>
    <row r="15" spans="1:12" ht="15">
      <c r="A15" s="1" t="s">
        <v>22</v>
      </c>
      <c r="B15" s="8" t="s">
        <v>23</v>
      </c>
      <c r="C15" s="19" t="s">
        <v>14</v>
      </c>
      <c r="D15" s="18">
        <v>986000</v>
      </c>
      <c r="E15" s="18">
        <v>986000</v>
      </c>
      <c r="F15" s="18">
        <v>538455.8</v>
      </c>
      <c r="G15" s="18">
        <v>118764.33</v>
      </c>
      <c r="H15" s="13">
        <f t="shared" si="1"/>
        <v>54.6</v>
      </c>
      <c r="J15" s="14"/>
      <c r="K15" s="14"/>
      <c r="L15" s="14"/>
    </row>
    <row r="16" spans="1:13" ht="30">
      <c r="A16" s="1" t="s">
        <v>24</v>
      </c>
      <c r="B16" s="8" t="s">
        <v>25</v>
      </c>
      <c r="C16" s="19" t="s">
        <v>14</v>
      </c>
      <c r="D16" s="18">
        <v>347843</v>
      </c>
      <c r="E16" s="18">
        <f>347843-13089-9542</f>
        <v>325212</v>
      </c>
      <c r="F16" s="18">
        <v>244965.28</v>
      </c>
      <c r="G16" s="18">
        <v>26906.85</v>
      </c>
      <c r="H16" s="13">
        <f t="shared" si="1"/>
        <v>75.3</v>
      </c>
      <c r="J16" s="39"/>
      <c r="K16" s="87"/>
      <c r="L16" s="87"/>
      <c r="M16" s="88"/>
    </row>
    <row r="17" spans="1:12" ht="30">
      <c r="A17" s="1" t="s">
        <v>27</v>
      </c>
      <c r="B17" s="8" t="s">
        <v>28</v>
      </c>
      <c r="C17" s="19" t="s">
        <v>14</v>
      </c>
      <c r="D17" s="18">
        <v>1499</v>
      </c>
      <c r="E17" s="18">
        <f>1499+270</f>
        <v>1769</v>
      </c>
      <c r="F17" s="18">
        <v>670.22</v>
      </c>
      <c r="G17" s="18">
        <v>82.43</v>
      </c>
      <c r="H17" s="13">
        <f t="shared" si="1"/>
        <v>37.9</v>
      </c>
      <c r="J17" s="37"/>
      <c r="K17" s="37"/>
      <c r="L17" s="37"/>
    </row>
    <row r="18" spans="1:10" ht="15">
      <c r="A18" s="1" t="s">
        <v>24</v>
      </c>
      <c r="B18" s="8" t="s">
        <v>29</v>
      </c>
      <c r="C18" s="19" t="s">
        <v>14</v>
      </c>
      <c r="D18" s="18">
        <v>1350</v>
      </c>
      <c r="E18" s="18">
        <v>1350</v>
      </c>
      <c r="F18" s="18">
        <v>1054.99</v>
      </c>
      <c r="G18" s="18">
        <v>104.61</v>
      </c>
      <c r="H18" s="13">
        <f t="shared" si="1"/>
        <v>78.1</v>
      </c>
      <c r="J18" s="14"/>
    </row>
    <row r="19" spans="1:13" ht="24">
      <c r="A19" s="1" t="s">
        <v>30</v>
      </c>
      <c r="B19" s="8" t="s">
        <v>31</v>
      </c>
      <c r="C19" s="19" t="s">
        <v>9</v>
      </c>
      <c r="D19" s="18">
        <v>30000</v>
      </c>
      <c r="E19" s="18">
        <v>30000</v>
      </c>
      <c r="F19" s="18">
        <v>5078</v>
      </c>
      <c r="G19" s="18"/>
      <c r="H19" s="13">
        <f t="shared" si="1"/>
        <v>16.9</v>
      </c>
      <c r="J19" s="37"/>
      <c r="K19" s="37"/>
      <c r="L19" s="37"/>
      <c r="M19" s="38"/>
    </row>
    <row r="20" spans="1:13" ht="30">
      <c r="A20" s="1" t="s">
        <v>32</v>
      </c>
      <c r="B20" s="8" t="s">
        <v>33</v>
      </c>
      <c r="C20" s="19" t="s">
        <v>14</v>
      </c>
      <c r="D20" s="18"/>
      <c r="E20" s="18">
        <v>6344</v>
      </c>
      <c r="F20" s="18">
        <v>6344</v>
      </c>
      <c r="G20" s="18"/>
      <c r="H20" s="13">
        <f t="shared" si="1"/>
        <v>100</v>
      </c>
      <c r="J20" s="37"/>
      <c r="K20" s="37"/>
      <c r="L20" s="37"/>
      <c r="M20" s="38"/>
    </row>
    <row r="21" spans="2:8" ht="15">
      <c r="B21" s="40" t="s">
        <v>34</v>
      </c>
      <c r="C21" s="41"/>
      <c r="D21" s="32">
        <f>SUM(D22,D69,D72,D75,D77)</f>
        <v>17577946</v>
      </c>
      <c r="E21" s="32">
        <f>SUM(E22,E69,E72,E75,E77)</f>
        <v>19099680</v>
      </c>
      <c r="F21" s="32">
        <f>SUM(F22,F69,F72,F75,F77)</f>
        <v>13236219.179999998</v>
      </c>
      <c r="G21" s="32">
        <f>SUM(G22,G69,G72,G75,G77)</f>
        <v>1711630.9200000002</v>
      </c>
      <c r="H21" s="33">
        <f t="shared" si="0"/>
        <v>69.3</v>
      </c>
    </row>
    <row r="22" spans="1:8" ht="15">
      <c r="A22" s="1" t="s">
        <v>26</v>
      </c>
      <c r="B22" s="42" t="s">
        <v>35</v>
      </c>
      <c r="C22" s="41"/>
      <c r="D22" s="43">
        <f>SUM(D23,D37:D52,D58,D59,D63,)</f>
        <v>15115771</v>
      </c>
      <c r="E22" s="43">
        <f>SUM(E23,E37:E52,E58,E59,E63,E66)</f>
        <v>16519944</v>
      </c>
      <c r="F22" s="43">
        <f>SUM(F23,F37,F43,F52,F58,F59,F63,F66)</f>
        <v>11682623.399999999</v>
      </c>
      <c r="G22" s="43">
        <f>SUM(G23,G37,G43,G52,G58,G59,G63,G66)</f>
        <v>1441165.86</v>
      </c>
      <c r="H22" s="13">
        <f t="shared" si="0"/>
        <v>70.7</v>
      </c>
    </row>
    <row r="23" spans="1:8" ht="15">
      <c r="A23" s="1" t="s">
        <v>26</v>
      </c>
      <c r="B23" s="40" t="s">
        <v>36</v>
      </c>
      <c r="C23" s="41"/>
      <c r="D23" s="32">
        <f>SUM(D24:D33)</f>
        <v>14632130</v>
      </c>
      <c r="E23" s="32">
        <f>SUM(E24:E36)</f>
        <v>14367130</v>
      </c>
      <c r="F23" s="32">
        <f>SUM(F24:F36)</f>
        <v>10284474.04</v>
      </c>
      <c r="G23" s="32">
        <f>SUM(G24:G36)</f>
        <v>1213073.54</v>
      </c>
      <c r="H23" s="13">
        <f t="shared" si="0"/>
        <v>71.6</v>
      </c>
    </row>
    <row r="24" spans="1:8" ht="30">
      <c r="A24" s="1" t="s">
        <v>26</v>
      </c>
      <c r="B24" s="44" t="s">
        <v>37</v>
      </c>
      <c r="C24" s="45" t="s">
        <v>9</v>
      </c>
      <c r="D24" s="18">
        <f>2183000+130000</f>
        <v>2313000</v>
      </c>
      <c r="E24" s="18">
        <f>2183000+130000</f>
        <v>2313000</v>
      </c>
      <c r="F24" s="18">
        <v>1401729.09</v>
      </c>
      <c r="G24" s="18">
        <v>251691.87</v>
      </c>
      <c r="H24" s="13">
        <f t="shared" si="0"/>
        <v>60.6</v>
      </c>
    </row>
    <row r="25" spans="1:8" ht="30">
      <c r="A25" s="1" t="s">
        <v>26</v>
      </c>
      <c r="B25" s="46" t="s">
        <v>37</v>
      </c>
      <c r="C25" s="47" t="s">
        <v>9</v>
      </c>
      <c r="D25" s="48">
        <v>11000000</v>
      </c>
      <c r="E25" s="48">
        <v>11000000</v>
      </c>
      <c r="F25" s="49">
        <v>8585283.75</v>
      </c>
      <c r="G25" s="49">
        <v>936301.67</v>
      </c>
      <c r="H25" s="50">
        <f t="shared" si="0"/>
        <v>78</v>
      </c>
    </row>
    <row r="26" spans="1:8" ht="24">
      <c r="A26" s="1" t="s">
        <v>26</v>
      </c>
      <c r="B26" s="44" t="s">
        <v>38</v>
      </c>
      <c r="C26" s="45" t="s">
        <v>9</v>
      </c>
      <c r="D26" s="18">
        <f>235130+5000</f>
        <v>240130</v>
      </c>
      <c r="E26" s="18">
        <f>235130+5000</f>
        <v>240130</v>
      </c>
      <c r="F26" s="18">
        <v>238187.2</v>
      </c>
      <c r="G26" s="18"/>
      <c r="H26" s="13">
        <f t="shared" si="0"/>
        <v>99.2</v>
      </c>
    </row>
    <row r="27" spans="1:8" ht="30">
      <c r="A27" s="1" t="s">
        <v>26</v>
      </c>
      <c r="B27" s="44" t="s">
        <v>39</v>
      </c>
      <c r="C27" s="45" t="s">
        <v>9</v>
      </c>
      <c r="D27" s="18">
        <v>443000</v>
      </c>
      <c r="E27" s="18">
        <f>443000-240000</f>
        <v>203000</v>
      </c>
      <c r="F27" s="18">
        <v>13860</v>
      </c>
      <c r="G27" s="18">
        <v>8460</v>
      </c>
      <c r="H27" s="13">
        <f t="shared" si="0"/>
        <v>6.8</v>
      </c>
    </row>
    <row r="28" spans="1:8" ht="30">
      <c r="A28" s="1" t="s">
        <v>26</v>
      </c>
      <c r="B28" s="44" t="s">
        <v>40</v>
      </c>
      <c r="C28" s="45" t="s">
        <v>9</v>
      </c>
      <c r="D28" s="18">
        <v>540000</v>
      </c>
      <c r="E28" s="18">
        <f>540000-330000</f>
        <v>210000</v>
      </c>
      <c r="F28" s="18">
        <v>4860</v>
      </c>
      <c r="G28" s="18">
        <v>4860</v>
      </c>
      <c r="H28" s="13">
        <f t="shared" si="0"/>
        <v>2.3</v>
      </c>
    </row>
    <row r="29" spans="1:8" ht="24">
      <c r="A29" s="1" t="s">
        <v>26</v>
      </c>
      <c r="B29" s="44" t="s">
        <v>41</v>
      </c>
      <c r="C29" s="45" t="s">
        <v>9</v>
      </c>
      <c r="D29" s="18"/>
      <c r="E29" s="18">
        <v>195000</v>
      </c>
      <c r="F29" s="18"/>
      <c r="G29" s="18"/>
      <c r="H29" s="13">
        <f t="shared" si="0"/>
        <v>0</v>
      </c>
    </row>
    <row r="30" spans="1:8" ht="30">
      <c r="A30" s="1" t="s">
        <v>26</v>
      </c>
      <c r="B30" s="44" t="s">
        <v>42</v>
      </c>
      <c r="C30" s="45" t="s">
        <v>9</v>
      </c>
      <c r="D30" s="18">
        <v>36000</v>
      </c>
      <c r="E30" s="18">
        <v>36000</v>
      </c>
      <c r="F30" s="18">
        <v>4998</v>
      </c>
      <c r="G30" s="18"/>
      <c r="H30" s="13">
        <f t="shared" si="0"/>
        <v>13.9</v>
      </c>
    </row>
    <row r="31" spans="1:8" ht="24">
      <c r="A31" s="1" t="s">
        <v>26</v>
      </c>
      <c r="B31" s="44" t="s">
        <v>43</v>
      </c>
      <c r="C31" s="45" t="s">
        <v>9</v>
      </c>
      <c r="D31" s="18">
        <v>30000</v>
      </c>
      <c r="E31" s="18">
        <v>30000</v>
      </c>
      <c r="F31" s="18">
        <v>4320</v>
      </c>
      <c r="G31" s="18"/>
      <c r="H31" s="13">
        <f t="shared" si="0"/>
        <v>14.4</v>
      </c>
    </row>
    <row r="32" spans="1:8" ht="24">
      <c r="A32" s="1" t="s">
        <v>26</v>
      </c>
      <c r="B32" s="44" t="s">
        <v>44</v>
      </c>
      <c r="C32" s="45" t="s">
        <v>9</v>
      </c>
      <c r="D32" s="18"/>
      <c r="E32" s="18">
        <v>15000</v>
      </c>
      <c r="F32" s="18"/>
      <c r="G32" s="18"/>
      <c r="H32" s="13">
        <f t="shared" si="0"/>
        <v>0</v>
      </c>
    </row>
    <row r="33" spans="1:8" ht="30">
      <c r="A33" s="1" t="s">
        <v>26</v>
      </c>
      <c r="B33" s="44" t="s">
        <v>45</v>
      </c>
      <c r="C33" s="45" t="s">
        <v>9</v>
      </c>
      <c r="D33" s="18">
        <v>30000</v>
      </c>
      <c r="E33" s="18">
        <v>30000</v>
      </c>
      <c r="F33" s="18">
        <v>9876</v>
      </c>
      <c r="G33" s="18"/>
      <c r="H33" s="13">
        <f t="shared" si="0"/>
        <v>32.9</v>
      </c>
    </row>
    <row r="34" spans="1:8" ht="30">
      <c r="A34" s="1" t="s">
        <v>26</v>
      </c>
      <c r="B34" s="44" t="s">
        <v>46</v>
      </c>
      <c r="C34" s="45" t="s">
        <v>9</v>
      </c>
      <c r="D34" s="18"/>
      <c r="E34" s="18">
        <v>40000</v>
      </c>
      <c r="F34" s="18">
        <v>9600</v>
      </c>
      <c r="G34" s="18"/>
      <c r="H34" s="13">
        <f t="shared" si="0"/>
        <v>24</v>
      </c>
    </row>
    <row r="35" spans="1:8" ht="30">
      <c r="A35" s="1" t="s">
        <v>26</v>
      </c>
      <c r="B35" s="44" t="s">
        <v>47</v>
      </c>
      <c r="C35" s="45" t="s">
        <v>9</v>
      </c>
      <c r="D35" s="18"/>
      <c r="E35" s="18">
        <v>40000</v>
      </c>
      <c r="F35" s="18"/>
      <c r="G35" s="18"/>
      <c r="H35" s="13">
        <f t="shared" si="0"/>
        <v>0</v>
      </c>
    </row>
    <row r="36" spans="1:8" ht="30">
      <c r="A36" s="1" t="s">
        <v>26</v>
      </c>
      <c r="B36" s="44" t="s">
        <v>48</v>
      </c>
      <c r="C36" s="45" t="s">
        <v>9</v>
      </c>
      <c r="D36" s="18"/>
      <c r="E36" s="18">
        <v>15000</v>
      </c>
      <c r="F36" s="18">
        <v>11760</v>
      </c>
      <c r="G36" s="18">
        <v>11760</v>
      </c>
      <c r="H36" s="13">
        <f t="shared" si="0"/>
        <v>78.4</v>
      </c>
    </row>
    <row r="37" spans="1:8" ht="28.5">
      <c r="A37" s="1" t="s">
        <v>26</v>
      </c>
      <c r="B37" s="40" t="s">
        <v>49</v>
      </c>
      <c r="C37" s="41" t="s">
        <v>9</v>
      </c>
      <c r="D37" s="32">
        <v>64000</v>
      </c>
      <c r="E37" s="32">
        <v>64000</v>
      </c>
      <c r="F37" s="32">
        <f>SUM(F38:F42)</f>
        <v>63212.1</v>
      </c>
      <c r="G37" s="32">
        <f>SUM(G38:G42)</f>
        <v>16989</v>
      </c>
      <c r="H37" s="13">
        <f t="shared" si="0"/>
        <v>98.8</v>
      </c>
    </row>
    <row r="38" spans="2:8" ht="15">
      <c r="B38" s="44" t="s">
        <v>50</v>
      </c>
      <c r="C38" s="45"/>
      <c r="D38" s="18"/>
      <c r="E38" s="18"/>
      <c r="F38" s="18">
        <v>7643.8</v>
      </c>
      <c r="G38" s="18"/>
      <c r="H38" s="13"/>
    </row>
    <row r="39" spans="2:8" ht="15">
      <c r="B39" s="44" t="s">
        <v>51</v>
      </c>
      <c r="C39" s="45"/>
      <c r="D39" s="18"/>
      <c r="E39" s="18"/>
      <c r="F39" s="18">
        <v>1863.85</v>
      </c>
      <c r="G39" s="18"/>
      <c r="H39" s="13"/>
    </row>
    <row r="40" spans="2:8" ht="15">
      <c r="B40" s="44" t="s">
        <v>52</v>
      </c>
      <c r="C40" s="45"/>
      <c r="D40" s="18"/>
      <c r="E40" s="18"/>
      <c r="F40" s="18">
        <v>7455.42</v>
      </c>
      <c r="G40" s="18"/>
      <c r="H40" s="13"/>
    </row>
    <row r="41" spans="2:8" ht="15">
      <c r="B41" s="44" t="s">
        <v>53</v>
      </c>
      <c r="C41" s="45"/>
      <c r="D41" s="18"/>
      <c r="E41" s="18"/>
      <c r="F41" s="18">
        <v>16989</v>
      </c>
      <c r="G41" s="18">
        <v>16989</v>
      </c>
      <c r="H41" s="13"/>
    </row>
    <row r="42" spans="2:8" ht="15">
      <c r="B42" s="44" t="s">
        <v>54</v>
      </c>
      <c r="C42" s="45"/>
      <c r="D42" s="18"/>
      <c r="E42" s="18"/>
      <c r="F42" s="18">
        <v>29260.03</v>
      </c>
      <c r="G42" s="18"/>
      <c r="H42" s="13"/>
    </row>
    <row r="43" spans="1:8" ht="24">
      <c r="A43" s="1" t="s">
        <v>26</v>
      </c>
      <c r="B43" s="40" t="s">
        <v>55</v>
      </c>
      <c r="C43" s="41" t="s">
        <v>9</v>
      </c>
      <c r="D43" s="32"/>
      <c r="E43" s="32">
        <v>650000</v>
      </c>
      <c r="F43" s="37">
        <f>SUM(F44:F51)</f>
        <v>491903.22000000003</v>
      </c>
      <c r="G43" s="37">
        <f>SUM(G44:G51)</f>
        <v>27660</v>
      </c>
      <c r="H43" s="33">
        <f t="shared" si="0"/>
        <v>75.7</v>
      </c>
    </row>
    <row r="44" spans="2:8" ht="15">
      <c r="B44" s="44" t="s">
        <v>56</v>
      </c>
      <c r="C44" s="41"/>
      <c r="D44" s="32"/>
      <c r="E44" s="32"/>
      <c r="F44" s="14">
        <v>20946</v>
      </c>
      <c r="G44" s="14"/>
      <c r="H44" s="13"/>
    </row>
    <row r="45" spans="2:8" ht="15">
      <c r="B45" s="44" t="s">
        <v>57</v>
      </c>
      <c r="C45" s="41"/>
      <c r="D45" s="32"/>
      <c r="E45" s="32"/>
      <c r="F45" s="14">
        <v>33036</v>
      </c>
      <c r="G45" s="14"/>
      <c r="H45" s="13"/>
    </row>
    <row r="46" spans="2:8" ht="15">
      <c r="B46" s="44" t="s">
        <v>58</v>
      </c>
      <c r="C46" s="41"/>
      <c r="D46" s="32"/>
      <c r="E46" s="32"/>
      <c r="F46" s="14">
        <v>132726</v>
      </c>
      <c r="G46" s="14"/>
      <c r="H46" s="13"/>
    </row>
    <row r="47" spans="2:8" ht="15">
      <c r="B47" s="44" t="s">
        <v>59</v>
      </c>
      <c r="C47" s="45"/>
      <c r="D47" s="18"/>
      <c r="E47" s="18"/>
      <c r="F47" s="18">
        <v>195101.82</v>
      </c>
      <c r="G47" s="18"/>
      <c r="H47" s="13"/>
    </row>
    <row r="48" spans="2:8" ht="15">
      <c r="B48" s="44" t="s">
        <v>60</v>
      </c>
      <c r="C48" s="45"/>
      <c r="D48" s="18"/>
      <c r="E48" s="18"/>
      <c r="F48" s="18">
        <v>16421.4</v>
      </c>
      <c r="G48" s="18"/>
      <c r="H48" s="13"/>
    </row>
    <row r="49" spans="2:8" ht="15">
      <c r="B49" s="44" t="s">
        <v>61</v>
      </c>
      <c r="C49" s="45"/>
      <c r="D49" s="18"/>
      <c r="E49" s="18"/>
      <c r="F49" s="18">
        <v>27363</v>
      </c>
      <c r="G49" s="18"/>
      <c r="H49" s="13"/>
    </row>
    <row r="50" spans="2:8" ht="15">
      <c r="B50" s="44" t="s">
        <v>62</v>
      </c>
      <c r="C50" s="45"/>
      <c r="D50" s="18"/>
      <c r="E50" s="18"/>
      <c r="F50" s="18">
        <v>27660</v>
      </c>
      <c r="G50" s="18">
        <v>27660</v>
      </c>
      <c r="H50" s="13"/>
    </row>
    <row r="51" spans="2:8" ht="15">
      <c r="B51" s="44" t="s">
        <v>63</v>
      </c>
      <c r="C51" s="45"/>
      <c r="D51" s="18"/>
      <c r="E51" s="18"/>
      <c r="F51" s="18">
        <v>38649</v>
      </c>
      <c r="G51" s="18"/>
      <c r="H51" s="13"/>
    </row>
    <row r="52" spans="1:8" ht="24">
      <c r="A52" s="1" t="s">
        <v>26</v>
      </c>
      <c r="B52" s="40" t="s">
        <v>64</v>
      </c>
      <c r="C52" s="41" t="s">
        <v>9</v>
      </c>
      <c r="D52" s="32">
        <v>200000</v>
      </c>
      <c r="E52" s="32">
        <f>200000+50000+100000</f>
        <v>350000</v>
      </c>
      <c r="F52" s="32">
        <f>SUM(F53,F54,F56,F57,F55)</f>
        <v>243407.54</v>
      </c>
      <c r="G52" s="32">
        <f>SUM(G53,G54,G56,G57,G55)</f>
        <v>53439</v>
      </c>
      <c r="H52" s="13">
        <f t="shared" si="0"/>
        <v>69.5</v>
      </c>
    </row>
    <row r="53" spans="2:8" ht="15">
      <c r="B53" s="44" t="s">
        <v>65</v>
      </c>
      <c r="C53" s="45"/>
      <c r="D53" s="18"/>
      <c r="E53" s="18"/>
      <c r="F53" s="18">
        <v>31436.48</v>
      </c>
      <c r="G53" s="18"/>
      <c r="H53" s="13"/>
    </row>
    <row r="54" spans="2:8" ht="15">
      <c r="B54" s="44" t="s">
        <v>66</v>
      </c>
      <c r="C54" s="45"/>
      <c r="D54" s="18"/>
      <c r="E54" s="18"/>
      <c r="F54" s="18">
        <v>65878.86</v>
      </c>
      <c r="G54" s="18"/>
      <c r="H54" s="13"/>
    </row>
    <row r="55" spans="2:8" ht="15">
      <c r="B55" s="44" t="s">
        <v>67</v>
      </c>
      <c r="C55" s="45"/>
      <c r="D55" s="18"/>
      <c r="E55" s="18"/>
      <c r="F55" s="18">
        <v>11699.78</v>
      </c>
      <c r="G55" s="18"/>
      <c r="H55" s="13"/>
    </row>
    <row r="56" spans="2:8" ht="30">
      <c r="B56" s="51" t="s">
        <v>68</v>
      </c>
      <c r="C56" s="52"/>
      <c r="D56" s="53"/>
      <c r="E56" s="53"/>
      <c r="F56" s="53">
        <v>37523.66</v>
      </c>
      <c r="G56" s="53"/>
      <c r="H56" s="13"/>
    </row>
    <row r="57" spans="2:8" ht="15">
      <c r="B57" s="46" t="s">
        <v>69</v>
      </c>
      <c r="C57" s="47"/>
      <c r="D57" s="54"/>
      <c r="E57" s="48">
        <v>100000</v>
      </c>
      <c r="F57" s="54">
        <v>96868.76</v>
      </c>
      <c r="G57" s="54">
        <v>53439</v>
      </c>
      <c r="H57" s="50">
        <f t="shared" si="0"/>
        <v>96.9</v>
      </c>
    </row>
    <row r="58" spans="1:8" ht="24">
      <c r="A58" s="1" t="s">
        <v>26</v>
      </c>
      <c r="B58" s="40" t="s">
        <v>70</v>
      </c>
      <c r="C58" s="41" t="s">
        <v>9</v>
      </c>
      <c r="D58" s="32">
        <v>5000</v>
      </c>
      <c r="E58" s="32">
        <v>5000</v>
      </c>
      <c r="F58" s="32">
        <v>5000</v>
      </c>
      <c r="G58" s="18"/>
      <c r="H58" s="13">
        <f t="shared" si="0"/>
        <v>100</v>
      </c>
    </row>
    <row r="59" spans="2:8" ht="18" customHeight="1">
      <c r="B59" s="40" t="s">
        <v>71</v>
      </c>
      <c r="C59" s="41"/>
      <c r="D59" s="32">
        <f>SUM(D60:D62)</f>
        <v>164641</v>
      </c>
      <c r="E59" s="32">
        <f>SUM(E60:E62)</f>
        <v>164641</v>
      </c>
      <c r="F59" s="32">
        <f>SUM(F60:F62)</f>
        <v>164641.25</v>
      </c>
      <c r="G59" s="32">
        <f>SUM(G60:G62)</f>
        <v>0</v>
      </c>
      <c r="H59" s="13">
        <f t="shared" si="0"/>
        <v>100</v>
      </c>
    </row>
    <row r="60" spans="1:8" ht="24">
      <c r="A60" s="1" t="s">
        <v>26</v>
      </c>
      <c r="B60" s="55" t="s">
        <v>72</v>
      </c>
      <c r="C60" s="45" t="s">
        <v>12</v>
      </c>
      <c r="D60" s="18">
        <v>35791</v>
      </c>
      <c r="E60" s="18">
        <v>35791</v>
      </c>
      <c r="F60" s="18">
        <v>35790.52</v>
      </c>
      <c r="G60" s="18"/>
      <c r="H60" s="13">
        <f t="shared" si="0"/>
        <v>100</v>
      </c>
    </row>
    <row r="61" spans="1:8" ht="24">
      <c r="A61" s="1" t="s">
        <v>26</v>
      </c>
      <c r="B61" s="16" t="s">
        <v>73</v>
      </c>
      <c r="C61" s="45" t="s">
        <v>12</v>
      </c>
      <c r="D61" s="18">
        <v>93907</v>
      </c>
      <c r="E61" s="18">
        <v>93907</v>
      </c>
      <c r="F61" s="18">
        <v>93907.01</v>
      </c>
      <c r="G61" s="18"/>
      <c r="H61" s="13">
        <f t="shared" si="0"/>
        <v>100</v>
      </c>
    </row>
    <row r="62" spans="1:8" ht="24">
      <c r="A62" s="1" t="s">
        <v>26</v>
      </c>
      <c r="B62" s="16" t="s">
        <v>74</v>
      </c>
      <c r="C62" s="45" t="s">
        <v>12</v>
      </c>
      <c r="D62" s="18">
        <v>34943</v>
      </c>
      <c r="E62" s="18">
        <v>34943</v>
      </c>
      <c r="F62" s="18">
        <v>34943.72</v>
      </c>
      <c r="G62" s="18"/>
      <c r="H62" s="13">
        <f t="shared" si="0"/>
        <v>100</v>
      </c>
    </row>
    <row r="63" spans="1:8" ht="24">
      <c r="A63" s="1" t="s">
        <v>26</v>
      </c>
      <c r="B63" s="40" t="s">
        <v>75</v>
      </c>
      <c r="C63" s="41" t="s">
        <v>9</v>
      </c>
      <c r="D63" s="32">
        <v>50000</v>
      </c>
      <c r="E63" s="32">
        <f>50000+40000+27000</f>
        <v>117000</v>
      </c>
      <c r="F63" s="32">
        <f>SUM(F64,F65)</f>
        <v>55357.91</v>
      </c>
      <c r="G63" s="32">
        <f>SUM(G64,G65)</f>
        <v>0</v>
      </c>
      <c r="H63" s="13">
        <f t="shared" si="0"/>
        <v>47.3</v>
      </c>
    </row>
    <row r="64" spans="2:8" ht="15">
      <c r="B64" s="44" t="s">
        <v>76</v>
      </c>
      <c r="C64" s="45"/>
      <c r="D64" s="18"/>
      <c r="E64" s="18"/>
      <c r="F64" s="18">
        <v>4488.01</v>
      </c>
      <c r="G64" s="18"/>
      <c r="H64" s="13"/>
    </row>
    <row r="65" spans="2:8" ht="15">
      <c r="B65" s="44" t="s">
        <v>77</v>
      </c>
      <c r="C65" s="45"/>
      <c r="D65" s="18"/>
      <c r="E65" s="18"/>
      <c r="F65" s="18">
        <v>50869.9</v>
      </c>
      <c r="G65" s="18"/>
      <c r="H65" s="13"/>
    </row>
    <row r="66" spans="1:8" ht="24">
      <c r="A66" s="1" t="s">
        <v>26</v>
      </c>
      <c r="B66" s="40" t="s">
        <v>78</v>
      </c>
      <c r="C66" s="41" t="s">
        <v>9</v>
      </c>
      <c r="D66" s="18"/>
      <c r="E66" s="32">
        <f>SUM(E67,E68)</f>
        <v>802173</v>
      </c>
      <c r="F66" s="32">
        <f>SUM(F67,F68)</f>
        <v>374627.34</v>
      </c>
      <c r="G66" s="32">
        <f>SUM(G67,G68)</f>
        <v>130004.32</v>
      </c>
      <c r="H66" s="33">
        <f t="shared" si="0"/>
        <v>46.7</v>
      </c>
    </row>
    <row r="67" spans="2:8" ht="15">
      <c r="B67" s="44" t="s">
        <v>79</v>
      </c>
      <c r="C67" s="45"/>
      <c r="D67" s="18"/>
      <c r="E67" s="18">
        <v>240000</v>
      </c>
      <c r="F67" s="18"/>
      <c r="G67" s="18"/>
      <c r="H67" s="13">
        <f t="shared" si="0"/>
        <v>0</v>
      </c>
    </row>
    <row r="68" spans="2:8" ht="15">
      <c r="B68" s="46" t="s">
        <v>79</v>
      </c>
      <c r="C68" s="47"/>
      <c r="D68" s="48"/>
      <c r="E68" s="48">
        <v>562173</v>
      </c>
      <c r="F68" s="48">
        <v>374627.34</v>
      </c>
      <c r="G68" s="48">
        <v>130004.32</v>
      </c>
      <c r="H68" s="50">
        <f t="shared" si="0"/>
        <v>66.6</v>
      </c>
    </row>
    <row r="69" spans="2:8" ht="15">
      <c r="B69" s="44" t="s">
        <v>80</v>
      </c>
      <c r="C69" s="45"/>
      <c r="D69" s="36">
        <f>SUM(D70:D71)</f>
        <v>731175</v>
      </c>
      <c r="E69" s="36">
        <f>SUM(E70:E71)</f>
        <v>731175</v>
      </c>
      <c r="F69" s="36">
        <f>SUM(F70:F71)</f>
        <v>0</v>
      </c>
      <c r="G69" s="36"/>
      <c r="H69" s="13">
        <f t="shared" si="0"/>
        <v>0</v>
      </c>
    </row>
    <row r="70" spans="1:8" ht="30">
      <c r="A70" s="1" t="s">
        <v>26</v>
      </c>
      <c r="B70" s="44" t="s">
        <v>81</v>
      </c>
      <c r="C70" s="45" t="s">
        <v>9</v>
      </c>
      <c r="D70" s="18">
        <v>109676</v>
      </c>
      <c r="E70" s="18">
        <v>109676</v>
      </c>
      <c r="F70" s="18"/>
      <c r="G70" s="18"/>
      <c r="H70" s="13">
        <f t="shared" si="0"/>
        <v>0</v>
      </c>
    </row>
    <row r="71" spans="1:8" ht="30">
      <c r="A71" s="1" t="s">
        <v>26</v>
      </c>
      <c r="B71" s="46" t="s">
        <v>81</v>
      </c>
      <c r="C71" s="47" t="s">
        <v>9</v>
      </c>
      <c r="D71" s="48">
        <v>621499</v>
      </c>
      <c r="E71" s="48">
        <v>621499</v>
      </c>
      <c r="F71" s="18"/>
      <c r="G71" s="18"/>
      <c r="H71" s="13">
        <f t="shared" si="0"/>
        <v>0</v>
      </c>
    </row>
    <row r="72" spans="1:8" ht="15">
      <c r="A72" s="1" t="s">
        <v>20</v>
      </c>
      <c r="B72" s="42" t="s">
        <v>82</v>
      </c>
      <c r="C72" s="56"/>
      <c r="D72" s="36">
        <f>SUM(D73:D74)</f>
        <v>1470000</v>
      </c>
      <c r="E72" s="36">
        <f>SUM(E73:E74)</f>
        <v>1517980</v>
      </c>
      <c r="F72" s="36">
        <f>SUM(F73:F74)</f>
        <v>1349711.51</v>
      </c>
      <c r="G72" s="36">
        <f>SUM(G73:G74)</f>
        <v>208872.46000000002</v>
      </c>
      <c r="H72" s="13">
        <f t="shared" si="0"/>
        <v>88.9</v>
      </c>
    </row>
    <row r="73" spans="1:8" ht="24">
      <c r="A73" s="1" t="s">
        <v>20</v>
      </c>
      <c r="B73" s="57" t="s">
        <v>83</v>
      </c>
      <c r="C73" s="45" t="s">
        <v>9</v>
      </c>
      <c r="D73" s="18">
        <v>298000</v>
      </c>
      <c r="E73" s="18">
        <v>298000</v>
      </c>
      <c r="F73" s="18">
        <v>102238.4</v>
      </c>
      <c r="G73" s="18">
        <v>80439.97</v>
      </c>
      <c r="H73" s="13">
        <f t="shared" si="0"/>
        <v>34.3</v>
      </c>
    </row>
    <row r="74" spans="1:8" ht="24">
      <c r="A74" s="1" t="s">
        <v>20</v>
      </c>
      <c r="B74" s="58" t="s">
        <v>83</v>
      </c>
      <c r="C74" s="47" t="s">
        <v>9</v>
      </c>
      <c r="D74" s="18">
        <v>1172000</v>
      </c>
      <c r="E74" s="48">
        <f>1172000+47980</f>
        <v>1219980</v>
      </c>
      <c r="F74" s="48">
        <v>1247473.11</v>
      </c>
      <c r="G74" s="48">
        <v>128432.49</v>
      </c>
      <c r="H74" s="50">
        <f t="shared" si="0"/>
        <v>102.3</v>
      </c>
    </row>
    <row r="75" spans="1:8" ht="15">
      <c r="A75" s="1" t="s">
        <v>32</v>
      </c>
      <c r="B75" s="57" t="s">
        <v>84</v>
      </c>
      <c r="C75" s="56"/>
      <c r="D75" s="36">
        <f>SUM(D76)</f>
        <v>85000</v>
      </c>
      <c r="E75" s="36">
        <f>SUM(E76)</f>
        <v>85000</v>
      </c>
      <c r="F75" s="36">
        <f>SUM(F76)</f>
        <v>85000</v>
      </c>
      <c r="G75" s="36">
        <f>SUM(G76)</f>
        <v>42500</v>
      </c>
      <c r="H75" s="13">
        <f t="shared" si="0"/>
        <v>100</v>
      </c>
    </row>
    <row r="76" spans="1:8" ht="30">
      <c r="A76" s="1" t="s">
        <v>32</v>
      </c>
      <c r="B76" s="44" t="s">
        <v>85</v>
      </c>
      <c r="C76" s="45" t="s">
        <v>12</v>
      </c>
      <c r="D76" s="18">
        <v>85000</v>
      </c>
      <c r="E76" s="18">
        <v>85000</v>
      </c>
      <c r="F76" s="18">
        <v>85000</v>
      </c>
      <c r="G76" s="18">
        <v>42500</v>
      </c>
      <c r="H76" s="13">
        <f t="shared" si="0"/>
        <v>100</v>
      </c>
    </row>
    <row r="77" spans="2:8" ht="15">
      <c r="B77" s="42" t="s">
        <v>86</v>
      </c>
      <c r="C77" s="41"/>
      <c r="D77" s="36">
        <f>SUM(D78:D82)</f>
        <v>176000</v>
      </c>
      <c r="E77" s="36">
        <f>SUM(E78:E85)</f>
        <v>245581</v>
      </c>
      <c r="F77" s="36">
        <f>SUM(F78:F85)</f>
        <v>118884.26999999999</v>
      </c>
      <c r="G77" s="36">
        <f>SUM(G78:G85)</f>
        <v>19092.6</v>
      </c>
      <c r="H77" s="13">
        <f t="shared" si="0"/>
        <v>48.4</v>
      </c>
    </row>
    <row r="78" spans="1:8" ht="24">
      <c r="A78" s="1" t="s">
        <v>20</v>
      </c>
      <c r="B78" s="44" t="s">
        <v>87</v>
      </c>
      <c r="C78" s="45" t="s">
        <v>9</v>
      </c>
      <c r="D78" s="18">
        <v>35000</v>
      </c>
      <c r="E78" s="18">
        <v>35000</v>
      </c>
      <c r="F78" s="18">
        <v>20221.79</v>
      </c>
      <c r="G78" s="18">
        <v>2426.76</v>
      </c>
      <c r="H78" s="13">
        <f t="shared" si="0"/>
        <v>57.8</v>
      </c>
    </row>
    <row r="79" spans="1:8" ht="24">
      <c r="A79" s="1" t="s">
        <v>20</v>
      </c>
      <c r="B79" s="44" t="s">
        <v>88</v>
      </c>
      <c r="C79" s="45" t="s">
        <v>9</v>
      </c>
      <c r="D79" s="18">
        <v>10000</v>
      </c>
      <c r="E79" s="18">
        <v>10000</v>
      </c>
      <c r="F79" s="18"/>
      <c r="G79" s="18"/>
      <c r="H79" s="13">
        <f t="shared" si="0"/>
        <v>0</v>
      </c>
    </row>
    <row r="80" spans="1:8" ht="24">
      <c r="A80" s="1" t="s">
        <v>20</v>
      </c>
      <c r="B80" s="44" t="s">
        <v>89</v>
      </c>
      <c r="C80" s="45" t="s">
        <v>9</v>
      </c>
      <c r="D80" s="18">
        <v>36000</v>
      </c>
      <c r="E80" s="18">
        <v>36000</v>
      </c>
      <c r="F80" s="18">
        <v>6203.44</v>
      </c>
      <c r="G80" s="18"/>
      <c r="H80" s="13">
        <f t="shared" si="0"/>
        <v>17.2</v>
      </c>
    </row>
    <row r="81" spans="1:8" ht="24">
      <c r="A81" s="1" t="s">
        <v>20</v>
      </c>
      <c r="B81" s="44" t="s">
        <v>90</v>
      </c>
      <c r="C81" s="45" t="s">
        <v>9</v>
      </c>
      <c r="D81" s="18">
        <v>45000</v>
      </c>
      <c r="E81" s="18">
        <v>45000</v>
      </c>
      <c r="F81" s="18">
        <v>15907.08</v>
      </c>
      <c r="G81" s="18">
        <v>14827.08</v>
      </c>
      <c r="H81" s="13">
        <f t="shared" si="0"/>
        <v>35.3</v>
      </c>
    </row>
    <row r="82" spans="1:8" ht="24">
      <c r="A82" s="1" t="s">
        <v>20</v>
      </c>
      <c r="B82" s="44" t="s">
        <v>91</v>
      </c>
      <c r="C82" s="45" t="s">
        <v>9</v>
      </c>
      <c r="D82" s="18">
        <v>50000</v>
      </c>
      <c r="E82" s="18">
        <v>50000</v>
      </c>
      <c r="F82" s="18">
        <v>50000</v>
      </c>
      <c r="G82" s="18"/>
      <c r="H82" s="13">
        <f t="shared" si="0"/>
        <v>100</v>
      </c>
    </row>
    <row r="83" spans="1:8" ht="24">
      <c r="A83" s="1" t="s">
        <v>20</v>
      </c>
      <c r="B83" s="44" t="s">
        <v>92</v>
      </c>
      <c r="C83" s="45" t="s">
        <v>12</v>
      </c>
      <c r="D83" s="18"/>
      <c r="E83" s="18">
        <v>11581</v>
      </c>
      <c r="F83" s="18">
        <v>11581</v>
      </c>
      <c r="G83" s="18"/>
      <c r="H83" s="13">
        <f t="shared" si="0"/>
        <v>100</v>
      </c>
    </row>
    <row r="84" spans="1:8" ht="24">
      <c r="A84" s="1" t="s">
        <v>20</v>
      </c>
      <c r="B84" s="44" t="s">
        <v>93</v>
      </c>
      <c r="C84" s="45" t="s">
        <v>9</v>
      </c>
      <c r="D84" s="18"/>
      <c r="E84" s="18">
        <v>8000</v>
      </c>
      <c r="F84" s="18"/>
      <c r="G84" s="18"/>
      <c r="H84" s="13">
        <f t="shared" si="0"/>
        <v>0</v>
      </c>
    </row>
    <row r="85" spans="1:8" ht="30">
      <c r="A85" s="1" t="s">
        <v>20</v>
      </c>
      <c r="B85" s="44" t="s">
        <v>94</v>
      </c>
      <c r="C85" s="45" t="s">
        <v>9</v>
      </c>
      <c r="D85" s="18"/>
      <c r="E85" s="18">
        <v>50000</v>
      </c>
      <c r="F85" s="18">
        <v>14970.96</v>
      </c>
      <c r="G85" s="18">
        <v>1838.76</v>
      </c>
      <c r="H85" s="13">
        <f t="shared" si="0"/>
        <v>29.9</v>
      </c>
    </row>
    <row r="86" spans="2:8" ht="25.5" customHeight="1">
      <c r="B86" s="30" t="s">
        <v>95</v>
      </c>
      <c r="C86" s="31"/>
      <c r="D86" s="36">
        <f>SUM(D87,D90,D92,D98)</f>
        <v>207200</v>
      </c>
      <c r="E86" s="36">
        <f>SUM(E87,E90,E92,E98)</f>
        <v>418903</v>
      </c>
      <c r="F86" s="36">
        <f>SUM(F87,F90,F92,F98)</f>
        <v>302523.4</v>
      </c>
      <c r="G86" s="36">
        <f>SUM(G87,G90,G92,G98)</f>
        <v>25519.2</v>
      </c>
      <c r="H86" s="33">
        <f t="shared" si="0"/>
        <v>72.2</v>
      </c>
    </row>
    <row r="87" spans="1:8" ht="15">
      <c r="A87" s="1" t="s">
        <v>26</v>
      </c>
      <c r="B87" s="30" t="s">
        <v>96</v>
      </c>
      <c r="C87" s="31"/>
      <c r="D87" s="36">
        <f>SUM(D88)</f>
        <v>32000</v>
      </c>
      <c r="E87" s="36">
        <f>SUM(E88:E89)</f>
        <v>40280</v>
      </c>
      <c r="F87" s="36">
        <f>SUM(F88:F89)</f>
        <v>17280</v>
      </c>
      <c r="G87" s="36">
        <f>SUM(G88:G89)</f>
        <v>3000</v>
      </c>
      <c r="H87" s="13">
        <f t="shared" si="0"/>
        <v>42.9</v>
      </c>
    </row>
    <row r="88" spans="1:8" ht="30">
      <c r="A88" s="1" t="s">
        <v>26</v>
      </c>
      <c r="B88" s="8" t="s">
        <v>97</v>
      </c>
      <c r="C88" s="19" t="s">
        <v>12</v>
      </c>
      <c r="D88" s="18">
        <v>32000</v>
      </c>
      <c r="E88" s="18">
        <v>32000</v>
      </c>
      <c r="F88" s="18">
        <v>9000</v>
      </c>
      <c r="G88" s="18">
        <v>3000</v>
      </c>
      <c r="H88" s="13">
        <f t="shared" si="0"/>
        <v>28.1</v>
      </c>
    </row>
    <row r="89" spans="1:9" ht="24">
      <c r="A89" s="1" t="s">
        <v>26</v>
      </c>
      <c r="B89" s="8" t="s">
        <v>98</v>
      </c>
      <c r="C89" s="19" t="s">
        <v>9</v>
      </c>
      <c r="D89" s="18"/>
      <c r="E89" s="18">
        <v>8280</v>
      </c>
      <c r="F89" s="18">
        <v>8280</v>
      </c>
      <c r="G89" s="18"/>
      <c r="H89" s="13">
        <f t="shared" si="0"/>
        <v>100</v>
      </c>
      <c r="I89" s="59"/>
    </row>
    <row r="90" spans="1:9" s="38" customFormat="1" ht="15">
      <c r="A90" s="1"/>
      <c r="B90" s="60" t="s">
        <v>99</v>
      </c>
      <c r="C90" s="61"/>
      <c r="D90" s="36">
        <f>SUM(D91)</f>
        <v>12000</v>
      </c>
      <c r="E90" s="36">
        <f>SUM(E91)</f>
        <v>12000</v>
      </c>
      <c r="F90" s="36">
        <f>SUM(F91)</f>
        <v>12000</v>
      </c>
      <c r="G90" s="36"/>
      <c r="H90" s="13">
        <f t="shared" si="0"/>
        <v>100</v>
      </c>
      <c r="I90" s="62"/>
    </row>
    <row r="91" spans="1:9" ht="24">
      <c r="A91" s="1" t="s">
        <v>26</v>
      </c>
      <c r="B91" s="8" t="s">
        <v>100</v>
      </c>
      <c r="C91" s="19" t="s">
        <v>9</v>
      </c>
      <c r="D91" s="18">
        <v>12000</v>
      </c>
      <c r="E91" s="18">
        <v>12000</v>
      </c>
      <c r="F91" s="18">
        <v>12000</v>
      </c>
      <c r="G91" s="18"/>
      <c r="H91" s="13">
        <f t="shared" si="0"/>
        <v>100</v>
      </c>
      <c r="I91" s="59"/>
    </row>
    <row r="92" spans="2:8" ht="15">
      <c r="B92" s="30" t="s">
        <v>101</v>
      </c>
      <c r="C92" s="19"/>
      <c r="D92" s="36">
        <f>SUM(D93:D95)</f>
        <v>109000</v>
      </c>
      <c r="E92" s="36">
        <f>SUM(E93:E97)</f>
        <v>312423</v>
      </c>
      <c r="F92" s="36">
        <f>SUM(F93:F97)</f>
        <v>263247.4</v>
      </c>
      <c r="G92" s="36">
        <f>SUM(G93:G97)</f>
        <v>22519.2</v>
      </c>
      <c r="H92" s="13">
        <f t="shared" si="0"/>
        <v>84.3</v>
      </c>
    </row>
    <row r="93" spans="1:8" ht="30">
      <c r="A93" s="1" t="s">
        <v>26</v>
      </c>
      <c r="B93" s="16" t="s">
        <v>102</v>
      </c>
      <c r="C93" s="19" t="s">
        <v>9</v>
      </c>
      <c r="D93" s="18">
        <v>15000</v>
      </c>
      <c r="E93" s="18">
        <f>15000+53000</f>
        <v>68000</v>
      </c>
      <c r="F93" s="18">
        <v>57661.78</v>
      </c>
      <c r="G93" s="18"/>
      <c r="H93" s="13">
        <f t="shared" si="0"/>
        <v>84.8</v>
      </c>
    </row>
    <row r="94" spans="1:8" ht="30">
      <c r="A94" s="1" t="s">
        <v>26</v>
      </c>
      <c r="B94" s="16" t="s">
        <v>103</v>
      </c>
      <c r="C94" s="19" t="s">
        <v>9</v>
      </c>
      <c r="D94" s="18">
        <v>30000</v>
      </c>
      <c r="E94" s="18">
        <v>30000</v>
      </c>
      <c r="F94" s="18">
        <v>30825.6</v>
      </c>
      <c r="G94" s="18">
        <v>22519.2</v>
      </c>
      <c r="H94" s="13">
        <f t="shared" si="0"/>
        <v>102.8</v>
      </c>
    </row>
    <row r="95" spans="1:8" ht="24">
      <c r="A95" s="1" t="s">
        <v>26</v>
      </c>
      <c r="B95" s="8" t="s">
        <v>104</v>
      </c>
      <c r="C95" s="19" t="s">
        <v>9</v>
      </c>
      <c r="D95" s="18">
        <v>64000</v>
      </c>
      <c r="E95" s="18">
        <f>64000+102653</f>
        <v>166653</v>
      </c>
      <c r="F95" s="18">
        <v>166990.02</v>
      </c>
      <c r="G95" s="18"/>
      <c r="H95" s="13">
        <f t="shared" si="0"/>
        <v>100.2</v>
      </c>
    </row>
    <row r="96" spans="1:8" ht="24">
      <c r="A96" s="1" t="s">
        <v>26</v>
      </c>
      <c r="B96" s="8" t="s">
        <v>105</v>
      </c>
      <c r="C96" s="19" t="s">
        <v>9</v>
      </c>
      <c r="D96" s="18"/>
      <c r="E96" s="18">
        <v>40000</v>
      </c>
      <c r="F96" s="18"/>
      <c r="G96" s="18"/>
      <c r="H96" s="13"/>
    </row>
    <row r="97" spans="1:8" ht="24">
      <c r="A97" s="1" t="s">
        <v>26</v>
      </c>
      <c r="B97" s="8" t="s">
        <v>106</v>
      </c>
      <c r="C97" s="19" t="s">
        <v>9</v>
      </c>
      <c r="D97" s="18"/>
      <c r="E97" s="18">
        <v>7770</v>
      </c>
      <c r="F97" s="18">
        <v>7770</v>
      </c>
      <c r="G97" s="18"/>
      <c r="H97" s="13">
        <f t="shared" si="0"/>
        <v>100</v>
      </c>
    </row>
    <row r="98" spans="2:8" s="63" customFormat="1" ht="15">
      <c r="B98" s="64" t="s">
        <v>107</v>
      </c>
      <c r="C98" s="61"/>
      <c r="D98" s="36">
        <f>SUM(D99:D100)</f>
        <v>54200</v>
      </c>
      <c r="E98" s="36">
        <f>SUM(E99:E100)</f>
        <v>54200</v>
      </c>
      <c r="F98" s="36">
        <f>SUM(F99:F100)</f>
        <v>9996</v>
      </c>
      <c r="G98" s="36"/>
      <c r="H98" s="13">
        <f t="shared" si="0"/>
        <v>18.4</v>
      </c>
    </row>
    <row r="99" spans="1:8" ht="30">
      <c r="A99" s="1" t="s">
        <v>26</v>
      </c>
      <c r="B99" s="8" t="s">
        <v>108</v>
      </c>
      <c r="C99" s="19" t="s">
        <v>9</v>
      </c>
      <c r="D99" s="18">
        <v>17000</v>
      </c>
      <c r="E99" s="18">
        <v>17000</v>
      </c>
      <c r="F99" s="18"/>
      <c r="G99" s="18"/>
      <c r="H99" s="13">
        <f t="shared" si="0"/>
        <v>0</v>
      </c>
    </row>
    <row r="100" spans="1:8" ht="30">
      <c r="A100" s="1" t="s">
        <v>26</v>
      </c>
      <c r="B100" s="65" t="s">
        <v>108</v>
      </c>
      <c r="C100" s="66" t="s">
        <v>9</v>
      </c>
      <c r="D100" s="48">
        <v>37200</v>
      </c>
      <c r="E100" s="49">
        <v>37200</v>
      </c>
      <c r="F100" s="49">
        <v>9996</v>
      </c>
      <c r="G100" s="49"/>
      <c r="H100" s="67">
        <f t="shared" si="0"/>
        <v>26.9</v>
      </c>
    </row>
    <row r="101" spans="2:8" ht="25.5" customHeight="1">
      <c r="B101" s="30" t="s">
        <v>109</v>
      </c>
      <c r="C101" s="31"/>
      <c r="D101" s="32">
        <f>SUM(D102,D105,D113)</f>
        <v>522110</v>
      </c>
      <c r="E101" s="32">
        <f>SUM(E102,E105,E113)</f>
        <v>568110</v>
      </c>
      <c r="F101" s="32">
        <f>SUM(F102,F105,F113)</f>
        <v>119598.93000000001</v>
      </c>
      <c r="G101" s="32">
        <f>SUM(G102,G105,G113)</f>
        <v>15003.15</v>
      </c>
      <c r="H101" s="13">
        <f t="shared" si="0"/>
        <v>21.1</v>
      </c>
    </row>
    <row r="102" spans="1:8" ht="15">
      <c r="A102" s="1" t="s">
        <v>20</v>
      </c>
      <c r="B102" s="42" t="s">
        <v>110</v>
      </c>
      <c r="C102" s="41"/>
      <c r="D102" s="36">
        <f>SUM(D103:D104)</f>
        <v>120000</v>
      </c>
      <c r="E102" s="36">
        <f>SUM(E103:E104)</f>
        <v>166000</v>
      </c>
      <c r="F102" s="36">
        <f>SUM(F103:F104)</f>
        <v>83978.27</v>
      </c>
      <c r="G102" s="36">
        <f>SUM(G103:G104)</f>
        <v>15003.15</v>
      </c>
      <c r="H102" s="13">
        <f t="shared" si="0"/>
        <v>50.6</v>
      </c>
    </row>
    <row r="103" spans="1:8" ht="24">
      <c r="A103" s="1" t="s">
        <v>20</v>
      </c>
      <c r="B103" s="44" t="s">
        <v>111</v>
      </c>
      <c r="C103" s="45" t="s">
        <v>9</v>
      </c>
      <c r="D103" s="18">
        <v>60000</v>
      </c>
      <c r="E103" s="18">
        <f>60000</f>
        <v>60000</v>
      </c>
      <c r="F103" s="18">
        <v>48980.3</v>
      </c>
      <c r="G103" s="18">
        <v>14429.55</v>
      </c>
      <c r="H103" s="13">
        <f aca="true" t="shared" si="2" ref="H103:H188">ROUND(F103/E103*100,1)</f>
        <v>81.6</v>
      </c>
    </row>
    <row r="104" spans="1:8" ht="24">
      <c r="A104" s="1" t="s">
        <v>20</v>
      </c>
      <c r="B104" s="44" t="s">
        <v>112</v>
      </c>
      <c r="C104" s="45" t="s">
        <v>9</v>
      </c>
      <c r="D104" s="18">
        <v>60000</v>
      </c>
      <c r="E104" s="18">
        <f>60000+46000</f>
        <v>106000</v>
      </c>
      <c r="F104" s="18">
        <v>34997.97</v>
      </c>
      <c r="G104" s="18">
        <v>573.6</v>
      </c>
      <c r="H104" s="13">
        <f t="shared" si="2"/>
        <v>33</v>
      </c>
    </row>
    <row r="105" spans="2:8" ht="15">
      <c r="B105" s="42" t="s">
        <v>113</v>
      </c>
      <c r="C105" s="56"/>
      <c r="D105" s="36">
        <f>SUM(D106:D112)</f>
        <v>382110</v>
      </c>
      <c r="E105" s="36">
        <f>SUM(E106:E112)</f>
        <v>382110</v>
      </c>
      <c r="F105" s="36">
        <f>SUM(F106:F112)</f>
        <v>19875.24</v>
      </c>
      <c r="G105" s="36"/>
      <c r="H105" s="13">
        <f t="shared" si="2"/>
        <v>5.2</v>
      </c>
    </row>
    <row r="106" spans="1:8" ht="30">
      <c r="A106" s="1" t="s">
        <v>26</v>
      </c>
      <c r="B106" s="44" t="s">
        <v>114</v>
      </c>
      <c r="C106" s="45" t="s">
        <v>9</v>
      </c>
      <c r="D106" s="18">
        <v>30000</v>
      </c>
      <c r="E106" s="18">
        <v>30000</v>
      </c>
      <c r="F106" s="18">
        <v>17312.18</v>
      </c>
      <c r="G106" s="18"/>
      <c r="H106" s="13">
        <f t="shared" si="2"/>
        <v>57.7</v>
      </c>
    </row>
    <row r="107" spans="1:8" ht="30">
      <c r="A107" s="1" t="s">
        <v>26</v>
      </c>
      <c r="B107" s="44" t="s">
        <v>115</v>
      </c>
      <c r="C107" s="45" t="s">
        <v>9</v>
      </c>
      <c r="D107" s="18">
        <v>55000</v>
      </c>
      <c r="E107" s="18">
        <v>55000</v>
      </c>
      <c r="F107" s="18">
        <v>2563.06</v>
      </c>
      <c r="G107" s="18"/>
      <c r="H107" s="13">
        <f t="shared" si="2"/>
        <v>4.7</v>
      </c>
    </row>
    <row r="108" spans="1:8" ht="30">
      <c r="A108" s="1" t="s">
        <v>26</v>
      </c>
      <c r="B108" s="44" t="s">
        <v>116</v>
      </c>
      <c r="C108" s="45" t="s">
        <v>9</v>
      </c>
      <c r="D108" s="18">
        <v>25200</v>
      </c>
      <c r="E108" s="18">
        <v>25200</v>
      </c>
      <c r="F108" s="18"/>
      <c r="G108" s="18"/>
      <c r="H108" s="13">
        <f t="shared" si="2"/>
        <v>0</v>
      </c>
    </row>
    <row r="109" spans="1:8" ht="30">
      <c r="A109" s="1" t="s">
        <v>26</v>
      </c>
      <c r="B109" s="46" t="s">
        <v>116</v>
      </c>
      <c r="C109" s="47" t="s">
        <v>9</v>
      </c>
      <c r="D109" s="48">
        <v>237510</v>
      </c>
      <c r="E109" s="49">
        <v>237510</v>
      </c>
      <c r="F109" s="49"/>
      <c r="G109" s="49"/>
      <c r="H109" s="67">
        <f t="shared" si="2"/>
        <v>0</v>
      </c>
    </row>
    <row r="110" spans="1:8" ht="30">
      <c r="A110" s="1" t="s">
        <v>26</v>
      </c>
      <c r="B110" s="44" t="s">
        <v>117</v>
      </c>
      <c r="C110" s="45" t="s">
        <v>9</v>
      </c>
      <c r="D110" s="18">
        <v>12000</v>
      </c>
      <c r="E110" s="18">
        <v>12000</v>
      </c>
      <c r="F110" s="18"/>
      <c r="G110" s="18"/>
      <c r="H110" s="13">
        <f t="shared" si="2"/>
        <v>0</v>
      </c>
    </row>
    <row r="111" spans="1:8" ht="24">
      <c r="A111" s="1" t="s">
        <v>26</v>
      </c>
      <c r="B111" s="44" t="s">
        <v>118</v>
      </c>
      <c r="C111" s="45" t="s">
        <v>9</v>
      </c>
      <c r="D111" s="18">
        <v>18000</v>
      </c>
      <c r="E111" s="18">
        <v>18000</v>
      </c>
      <c r="F111" s="18"/>
      <c r="G111" s="18"/>
      <c r="H111" s="13">
        <f t="shared" si="2"/>
        <v>0</v>
      </c>
    </row>
    <row r="112" spans="1:8" ht="24">
      <c r="A112" s="1" t="s">
        <v>26</v>
      </c>
      <c r="B112" s="44" t="s">
        <v>119</v>
      </c>
      <c r="C112" s="45" t="s">
        <v>9</v>
      </c>
      <c r="D112" s="18">
        <v>4400</v>
      </c>
      <c r="E112" s="18">
        <v>4400</v>
      </c>
      <c r="F112" s="18"/>
      <c r="G112" s="18"/>
      <c r="H112" s="13">
        <f t="shared" si="2"/>
        <v>0</v>
      </c>
    </row>
    <row r="113" spans="2:8" ht="15">
      <c r="B113" s="42" t="s">
        <v>120</v>
      </c>
      <c r="C113" s="41"/>
      <c r="D113" s="36">
        <f>SUM(D114:D117)</f>
        <v>20000</v>
      </c>
      <c r="E113" s="36">
        <f>SUM(E114:E117)</f>
        <v>20000</v>
      </c>
      <c r="F113" s="36">
        <f>SUM(F114:F117)</f>
        <v>15745.420000000002</v>
      </c>
      <c r="G113" s="36">
        <f>SUM(G114:G117)</f>
        <v>0</v>
      </c>
      <c r="H113" s="13">
        <f t="shared" si="2"/>
        <v>78.7</v>
      </c>
    </row>
    <row r="114" spans="1:8" ht="24">
      <c r="A114" s="1" t="s">
        <v>26</v>
      </c>
      <c r="B114" s="44" t="s">
        <v>121</v>
      </c>
      <c r="C114" s="45" t="s">
        <v>9</v>
      </c>
      <c r="D114" s="18">
        <v>10000</v>
      </c>
      <c r="E114" s="18">
        <v>10000</v>
      </c>
      <c r="F114" s="18">
        <v>9620.29</v>
      </c>
      <c r="G114" s="18"/>
      <c r="H114" s="13">
        <f t="shared" si="2"/>
        <v>96.2</v>
      </c>
    </row>
    <row r="115" spans="1:8" ht="24">
      <c r="A115" s="1" t="s">
        <v>26</v>
      </c>
      <c r="B115" s="44" t="s">
        <v>122</v>
      </c>
      <c r="C115" s="45" t="s">
        <v>9</v>
      </c>
      <c r="D115" s="18">
        <v>3000</v>
      </c>
      <c r="E115" s="18">
        <v>3000</v>
      </c>
      <c r="F115" s="18">
        <v>2575.13</v>
      </c>
      <c r="G115" s="18"/>
      <c r="H115" s="13">
        <f t="shared" si="2"/>
        <v>85.8</v>
      </c>
    </row>
    <row r="116" spans="1:8" ht="24">
      <c r="A116" s="1" t="s">
        <v>26</v>
      </c>
      <c r="B116" s="44" t="s">
        <v>123</v>
      </c>
      <c r="C116" s="45" t="s">
        <v>9</v>
      </c>
      <c r="D116" s="18">
        <v>3500</v>
      </c>
      <c r="E116" s="18">
        <v>3500</v>
      </c>
      <c r="F116" s="18"/>
      <c r="G116" s="18"/>
      <c r="H116" s="13">
        <f t="shared" si="2"/>
        <v>0</v>
      </c>
    </row>
    <row r="117" spans="1:8" ht="24">
      <c r="A117" s="1" t="s">
        <v>26</v>
      </c>
      <c r="B117" s="44" t="s">
        <v>124</v>
      </c>
      <c r="C117" s="45" t="s">
        <v>9</v>
      </c>
      <c r="D117" s="18">
        <v>3500</v>
      </c>
      <c r="E117" s="18">
        <v>3500</v>
      </c>
      <c r="F117" s="18">
        <v>3550</v>
      </c>
      <c r="G117" s="18"/>
      <c r="H117" s="13">
        <f t="shared" si="2"/>
        <v>101.4</v>
      </c>
    </row>
    <row r="118" spans="2:10" ht="28.5" customHeight="1">
      <c r="B118" s="30" t="s">
        <v>125</v>
      </c>
      <c r="C118" s="31"/>
      <c r="D118" s="32">
        <f>SUM(D119,D131,D136,D143,D145)</f>
        <v>380735</v>
      </c>
      <c r="E118" s="32">
        <f>SUM(E119,E131,E136,E143,E145,E141,E138,E129,E150)</f>
        <v>769592</v>
      </c>
      <c r="F118" s="32">
        <f>SUM(F119,F131,F136,F143,F145,F141,F138,F129,F150)</f>
        <v>497433.64</v>
      </c>
      <c r="G118" s="32">
        <f>SUM(G119,G131,G136,G143,G145,G141,G138,G129,G150)</f>
        <v>73781.2</v>
      </c>
      <c r="H118" s="33">
        <f t="shared" si="2"/>
        <v>64.6</v>
      </c>
      <c r="J118" s="14"/>
    </row>
    <row r="119" spans="2:8" ht="15">
      <c r="B119" s="42" t="s">
        <v>126</v>
      </c>
      <c r="C119" s="41"/>
      <c r="D119" s="36">
        <f>SUM(D120:D125)</f>
        <v>131912</v>
      </c>
      <c r="E119" s="36">
        <f>SUM(E120:E128)</f>
        <v>171932</v>
      </c>
      <c r="F119" s="36">
        <f>SUM(F120:F128)</f>
        <v>99119.2</v>
      </c>
      <c r="G119" s="36">
        <f>SUM(G120:G128)</f>
        <v>24000</v>
      </c>
      <c r="H119" s="13">
        <f t="shared" si="2"/>
        <v>57.7</v>
      </c>
    </row>
    <row r="120" spans="1:8" ht="24">
      <c r="A120" s="1" t="s">
        <v>22</v>
      </c>
      <c r="B120" s="44" t="s">
        <v>127</v>
      </c>
      <c r="C120" s="45" t="s">
        <v>12</v>
      </c>
      <c r="D120" s="18">
        <v>48000</v>
      </c>
      <c r="E120" s="18">
        <v>48000</v>
      </c>
      <c r="F120" s="18">
        <v>48000</v>
      </c>
      <c r="G120" s="18">
        <v>24000</v>
      </c>
      <c r="H120" s="13">
        <f t="shared" si="2"/>
        <v>100</v>
      </c>
    </row>
    <row r="121" spans="1:8" ht="24">
      <c r="A121" s="1" t="s">
        <v>22</v>
      </c>
      <c r="B121" s="44" t="s">
        <v>128</v>
      </c>
      <c r="C121" s="45" t="s">
        <v>12</v>
      </c>
      <c r="D121" s="18">
        <v>63912</v>
      </c>
      <c r="E121" s="18">
        <v>63912</v>
      </c>
      <c r="F121" s="18"/>
      <c r="G121" s="18"/>
      <c r="H121" s="13">
        <f t="shared" si="2"/>
        <v>0</v>
      </c>
    </row>
    <row r="122" spans="1:8" ht="24">
      <c r="A122" s="1" t="s">
        <v>20</v>
      </c>
      <c r="B122" s="44" t="s">
        <v>129</v>
      </c>
      <c r="C122" s="45" t="s">
        <v>9</v>
      </c>
      <c r="D122" s="18">
        <v>5000</v>
      </c>
      <c r="E122" s="18">
        <v>5000</v>
      </c>
      <c r="F122" s="18">
        <v>5000</v>
      </c>
      <c r="G122" s="18"/>
      <c r="H122" s="13">
        <f t="shared" si="2"/>
        <v>100</v>
      </c>
    </row>
    <row r="123" spans="1:8" ht="24">
      <c r="A123" s="1" t="s">
        <v>20</v>
      </c>
      <c r="B123" s="44" t="s">
        <v>130</v>
      </c>
      <c r="C123" s="45" t="s">
        <v>12</v>
      </c>
      <c r="D123" s="18"/>
      <c r="E123" s="18">
        <f>20452</f>
        <v>20452</v>
      </c>
      <c r="F123" s="18">
        <f>25452-5000</f>
        <v>20452</v>
      </c>
      <c r="G123" s="18"/>
      <c r="H123" s="13">
        <f t="shared" si="2"/>
        <v>100</v>
      </c>
    </row>
    <row r="124" spans="1:8" ht="30">
      <c r="A124" s="1" t="s">
        <v>20</v>
      </c>
      <c r="B124" s="44" t="s">
        <v>131</v>
      </c>
      <c r="C124" s="45" t="s">
        <v>12</v>
      </c>
      <c r="D124" s="18">
        <v>5000</v>
      </c>
      <c r="E124" s="18">
        <v>5000</v>
      </c>
      <c r="F124" s="18">
        <v>5000</v>
      </c>
      <c r="G124" s="18"/>
      <c r="H124" s="13">
        <f t="shared" si="2"/>
        <v>100</v>
      </c>
    </row>
    <row r="125" spans="1:8" ht="24">
      <c r="A125" s="1" t="s">
        <v>20</v>
      </c>
      <c r="B125" s="44" t="s">
        <v>132</v>
      </c>
      <c r="C125" s="45" t="s">
        <v>9</v>
      </c>
      <c r="D125" s="18">
        <v>10000</v>
      </c>
      <c r="E125" s="18">
        <v>10000</v>
      </c>
      <c r="F125" s="18">
        <v>1099.2</v>
      </c>
      <c r="G125" s="18"/>
      <c r="H125" s="13">
        <f t="shared" si="2"/>
        <v>11</v>
      </c>
    </row>
    <row r="126" spans="1:8" ht="45">
      <c r="A126" s="1" t="s">
        <v>27</v>
      </c>
      <c r="B126" s="44" t="s">
        <v>133</v>
      </c>
      <c r="C126" s="45" t="s">
        <v>12</v>
      </c>
      <c r="D126" s="18"/>
      <c r="E126" s="18">
        <v>4000</v>
      </c>
      <c r="F126" s="18">
        <v>4000</v>
      </c>
      <c r="G126" s="18"/>
      <c r="H126" s="13">
        <f t="shared" si="2"/>
        <v>100</v>
      </c>
    </row>
    <row r="127" spans="1:8" ht="30">
      <c r="A127" s="1" t="s">
        <v>27</v>
      </c>
      <c r="B127" s="44" t="s">
        <v>134</v>
      </c>
      <c r="C127" s="45" t="s">
        <v>12</v>
      </c>
      <c r="D127" s="18"/>
      <c r="E127" s="18">
        <v>5568</v>
      </c>
      <c r="F127" s="18">
        <v>5568</v>
      </c>
      <c r="G127" s="18"/>
      <c r="H127" s="13">
        <f t="shared" si="2"/>
        <v>100</v>
      </c>
    </row>
    <row r="128" spans="1:8" ht="30">
      <c r="A128" s="1" t="s">
        <v>27</v>
      </c>
      <c r="B128" s="44" t="s">
        <v>135</v>
      </c>
      <c r="C128" s="45" t="s">
        <v>12</v>
      </c>
      <c r="D128" s="18"/>
      <c r="E128" s="18">
        <v>10000</v>
      </c>
      <c r="F128" s="18">
        <v>10000</v>
      </c>
      <c r="G128" s="18"/>
      <c r="H128" s="13">
        <f t="shared" si="2"/>
        <v>100</v>
      </c>
    </row>
    <row r="129" spans="2:8" ht="15.75">
      <c r="B129" s="42" t="s">
        <v>136</v>
      </c>
      <c r="C129" s="45"/>
      <c r="D129" s="18"/>
      <c r="E129" s="68">
        <f>SUM(E130)</f>
        <v>1949</v>
      </c>
      <c r="F129" s="68">
        <f>SUM(F130)</f>
        <v>1949</v>
      </c>
      <c r="G129" s="68">
        <f>SUM(G130)</f>
        <v>0</v>
      </c>
      <c r="H129" s="13">
        <f t="shared" si="2"/>
        <v>100</v>
      </c>
    </row>
    <row r="130" spans="1:8" ht="30">
      <c r="A130" s="1" t="s">
        <v>27</v>
      </c>
      <c r="B130" s="44" t="s">
        <v>137</v>
      </c>
      <c r="C130" s="45" t="s">
        <v>12</v>
      </c>
      <c r="D130" s="18"/>
      <c r="E130" s="18">
        <v>1949</v>
      </c>
      <c r="F130" s="18">
        <v>1949</v>
      </c>
      <c r="G130" s="18"/>
      <c r="H130" s="13">
        <f t="shared" si="2"/>
        <v>100</v>
      </c>
    </row>
    <row r="131" spans="2:8" ht="15">
      <c r="B131" s="44" t="s">
        <v>138</v>
      </c>
      <c r="C131" s="45"/>
      <c r="D131" s="36">
        <f>SUM(D132:D135)</f>
        <v>30000</v>
      </c>
      <c r="E131" s="36">
        <f>SUM(E132:E135)</f>
        <v>217000</v>
      </c>
      <c r="F131" s="36">
        <f>SUM(F132:F135)</f>
        <v>177980.63999999998</v>
      </c>
      <c r="G131" s="36">
        <f>SUM(G132:G135)</f>
        <v>0</v>
      </c>
      <c r="H131" s="13">
        <f t="shared" si="2"/>
        <v>82</v>
      </c>
    </row>
    <row r="132" spans="1:8" ht="24">
      <c r="A132" s="1" t="s">
        <v>20</v>
      </c>
      <c r="B132" s="57" t="s">
        <v>139</v>
      </c>
      <c r="C132" s="45" t="s">
        <v>9</v>
      </c>
      <c r="D132" s="18">
        <v>20000</v>
      </c>
      <c r="E132" s="18">
        <f>20000+10000</f>
        <v>30000</v>
      </c>
      <c r="F132" s="18"/>
      <c r="G132" s="18"/>
      <c r="H132" s="13">
        <f t="shared" si="2"/>
        <v>0</v>
      </c>
    </row>
    <row r="133" spans="1:8" ht="24">
      <c r="A133" s="1" t="s">
        <v>20</v>
      </c>
      <c r="B133" s="57" t="s">
        <v>140</v>
      </c>
      <c r="C133" s="45" t="s">
        <v>9</v>
      </c>
      <c r="D133" s="18"/>
      <c r="E133" s="18">
        <f>3870+8130</f>
        <v>12000</v>
      </c>
      <c r="F133" s="18">
        <v>8758.93</v>
      </c>
      <c r="G133" s="18"/>
      <c r="H133" s="13">
        <f t="shared" si="2"/>
        <v>73</v>
      </c>
    </row>
    <row r="134" spans="1:8" ht="24">
      <c r="A134" s="35" t="s">
        <v>20</v>
      </c>
      <c r="B134" s="58" t="s">
        <v>140</v>
      </c>
      <c r="C134" s="47" t="s">
        <v>9</v>
      </c>
      <c r="D134" s="48"/>
      <c r="E134" s="48">
        <v>165000</v>
      </c>
      <c r="F134" s="48">
        <v>159222.71</v>
      </c>
      <c r="G134" s="48"/>
      <c r="H134" s="50">
        <f t="shared" si="2"/>
        <v>96.5</v>
      </c>
    </row>
    <row r="135" spans="1:8" ht="24">
      <c r="A135" s="1" t="s">
        <v>27</v>
      </c>
      <c r="B135" s="57" t="s">
        <v>141</v>
      </c>
      <c r="C135" s="45" t="s">
        <v>9</v>
      </c>
      <c r="D135" s="18">
        <v>10000</v>
      </c>
      <c r="E135" s="18">
        <v>10000</v>
      </c>
      <c r="F135" s="18">
        <v>9999</v>
      </c>
      <c r="G135" s="18"/>
      <c r="H135" s="69">
        <f t="shared" si="2"/>
        <v>100</v>
      </c>
    </row>
    <row r="136" spans="2:8" ht="15">
      <c r="B136" s="42" t="s">
        <v>142</v>
      </c>
      <c r="C136" s="41"/>
      <c r="D136" s="36">
        <f>SUM(D137:D137)</f>
        <v>22000</v>
      </c>
      <c r="E136" s="36">
        <f>SUM(E137:E137)</f>
        <v>28300</v>
      </c>
      <c r="F136" s="18"/>
      <c r="G136" s="18"/>
      <c r="H136" s="69">
        <f t="shared" si="2"/>
        <v>0</v>
      </c>
    </row>
    <row r="137" spans="1:8" ht="24">
      <c r="A137" s="1" t="s">
        <v>20</v>
      </c>
      <c r="B137" s="57" t="s">
        <v>143</v>
      </c>
      <c r="C137" s="45" t="s">
        <v>9</v>
      </c>
      <c r="D137" s="18">
        <v>22000</v>
      </c>
      <c r="E137" s="18">
        <f>22000+6300</f>
        <v>28300</v>
      </c>
      <c r="F137" s="18"/>
      <c r="G137" s="18"/>
      <c r="H137" s="69">
        <f t="shared" si="2"/>
        <v>0</v>
      </c>
    </row>
    <row r="138" spans="2:8" ht="15">
      <c r="B138" s="70" t="s">
        <v>144</v>
      </c>
      <c r="C138" s="45"/>
      <c r="D138" s="18"/>
      <c r="E138" s="32">
        <f>SUM(E139:E140)</f>
        <v>4500</v>
      </c>
      <c r="F138" s="32">
        <f>SUM(F139:F140)</f>
        <v>4500</v>
      </c>
      <c r="G138" s="32">
        <f>SUM(G139:G140)</f>
        <v>2000</v>
      </c>
      <c r="H138" s="69">
        <f t="shared" si="2"/>
        <v>100</v>
      </c>
    </row>
    <row r="139" spans="1:8" ht="30">
      <c r="A139" s="1" t="s">
        <v>27</v>
      </c>
      <c r="B139" s="44" t="s">
        <v>145</v>
      </c>
      <c r="C139" s="45" t="s">
        <v>12</v>
      </c>
      <c r="D139" s="18"/>
      <c r="E139" s="18">
        <v>2500</v>
      </c>
      <c r="F139" s="18">
        <v>2500</v>
      </c>
      <c r="G139" s="18"/>
      <c r="H139" s="69">
        <f t="shared" si="2"/>
        <v>100</v>
      </c>
    </row>
    <row r="140" spans="1:8" ht="30">
      <c r="A140" s="1" t="s">
        <v>27</v>
      </c>
      <c r="B140" s="44" t="s">
        <v>146</v>
      </c>
      <c r="C140" s="45" t="s">
        <v>12</v>
      </c>
      <c r="D140" s="18"/>
      <c r="E140" s="18">
        <v>2000</v>
      </c>
      <c r="F140" s="18">
        <v>2000</v>
      </c>
      <c r="G140" s="18">
        <v>2000</v>
      </c>
      <c r="H140" s="69">
        <f t="shared" si="2"/>
        <v>100</v>
      </c>
    </row>
    <row r="141" spans="2:8" ht="15">
      <c r="B141" s="70" t="s">
        <v>147</v>
      </c>
      <c r="C141" s="45"/>
      <c r="D141" s="18"/>
      <c r="E141" s="32">
        <f>SUM(E142)</f>
        <v>4088</v>
      </c>
      <c r="F141" s="32">
        <f>SUM(F142)</f>
        <v>4088.4</v>
      </c>
      <c r="G141" s="32">
        <f>SUM(G142)</f>
        <v>0</v>
      </c>
      <c r="H141" s="69">
        <f t="shared" si="2"/>
        <v>100</v>
      </c>
    </row>
    <row r="142" spans="1:8" ht="30">
      <c r="A142" s="1" t="s">
        <v>20</v>
      </c>
      <c r="B142" s="57" t="s">
        <v>148</v>
      </c>
      <c r="C142" s="45" t="s">
        <v>9</v>
      </c>
      <c r="D142" s="18"/>
      <c r="E142" s="18">
        <v>4088</v>
      </c>
      <c r="F142" s="18">
        <v>4088.4</v>
      </c>
      <c r="G142" s="18"/>
      <c r="H142" s="69">
        <f t="shared" si="2"/>
        <v>100</v>
      </c>
    </row>
    <row r="143" spans="2:8" ht="15">
      <c r="B143" s="42" t="s">
        <v>149</v>
      </c>
      <c r="C143" s="45"/>
      <c r="D143" s="36">
        <f>SUM(D144:D144)</f>
        <v>5000</v>
      </c>
      <c r="E143" s="36">
        <f>SUM(E144:E144)</f>
        <v>5000</v>
      </c>
      <c r="F143" s="36">
        <f>SUM(F144:F144)</f>
        <v>319.2</v>
      </c>
      <c r="G143" s="36">
        <f>SUM(G144:G144)</f>
        <v>0</v>
      </c>
      <c r="H143" s="69">
        <f t="shared" si="2"/>
        <v>6.4</v>
      </c>
    </row>
    <row r="144" spans="1:8" ht="24">
      <c r="A144" s="1" t="s">
        <v>20</v>
      </c>
      <c r="B144" s="57" t="s">
        <v>150</v>
      </c>
      <c r="C144" s="45" t="s">
        <v>9</v>
      </c>
      <c r="D144" s="18">
        <v>5000</v>
      </c>
      <c r="E144" s="18">
        <v>5000</v>
      </c>
      <c r="F144" s="18">
        <v>319.2</v>
      </c>
      <c r="G144" s="18"/>
      <c r="H144" s="69">
        <f t="shared" si="2"/>
        <v>6.4</v>
      </c>
    </row>
    <row r="145" spans="2:8" ht="15">
      <c r="B145" s="42" t="s">
        <v>151</v>
      </c>
      <c r="C145" s="56"/>
      <c r="D145" s="36">
        <f>SUM(D146:D149)</f>
        <v>191823</v>
      </c>
      <c r="E145" s="36">
        <f>SUM(E146:E149)</f>
        <v>196823</v>
      </c>
      <c r="F145" s="36">
        <f>SUM(F146:F149)</f>
        <v>163876</v>
      </c>
      <c r="G145" s="36">
        <f>SUM(G146:G149)</f>
        <v>2180</v>
      </c>
      <c r="H145" s="13">
        <f t="shared" si="2"/>
        <v>83.3</v>
      </c>
    </row>
    <row r="146" spans="1:8" ht="24">
      <c r="A146" s="1" t="s">
        <v>20</v>
      </c>
      <c r="B146" s="71" t="s">
        <v>152</v>
      </c>
      <c r="C146" s="45" t="s">
        <v>12</v>
      </c>
      <c r="D146" s="18">
        <v>127823</v>
      </c>
      <c r="E146" s="18">
        <v>127823</v>
      </c>
      <c r="F146" s="18">
        <v>127823</v>
      </c>
      <c r="G146" s="18"/>
      <c r="H146" s="13">
        <f t="shared" si="2"/>
        <v>100</v>
      </c>
    </row>
    <row r="147" spans="1:8" ht="24">
      <c r="A147" s="1" t="s">
        <v>20</v>
      </c>
      <c r="B147" s="71" t="s">
        <v>153</v>
      </c>
      <c r="C147" s="45" t="s">
        <v>12</v>
      </c>
      <c r="D147" s="18"/>
      <c r="E147" s="18">
        <v>5000</v>
      </c>
      <c r="F147" s="18"/>
      <c r="G147" s="18"/>
      <c r="H147" s="13"/>
    </row>
    <row r="148" spans="1:8" ht="24">
      <c r="A148" s="1" t="s">
        <v>22</v>
      </c>
      <c r="B148" s="71" t="s">
        <v>154</v>
      </c>
      <c r="C148" s="45" t="s">
        <v>12</v>
      </c>
      <c r="D148" s="18">
        <v>32000</v>
      </c>
      <c r="E148" s="18">
        <v>32000</v>
      </c>
      <c r="F148" s="18">
        <v>32000</v>
      </c>
      <c r="G148" s="18"/>
      <c r="H148" s="13">
        <f t="shared" si="2"/>
        <v>100</v>
      </c>
    </row>
    <row r="149" spans="1:8" ht="24">
      <c r="A149" s="1" t="s">
        <v>155</v>
      </c>
      <c r="B149" s="44" t="s">
        <v>156</v>
      </c>
      <c r="C149" s="45" t="s">
        <v>12</v>
      </c>
      <c r="D149" s="18">
        <v>32000</v>
      </c>
      <c r="E149" s="18">
        <v>32000</v>
      </c>
      <c r="F149" s="18">
        <v>4053</v>
      </c>
      <c r="G149" s="18">
        <v>2180</v>
      </c>
      <c r="H149" s="13">
        <f t="shared" si="2"/>
        <v>12.7</v>
      </c>
    </row>
    <row r="150" spans="2:8" ht="15.75">
      <c r="B150" s="42" t="s">
        <v>157</v>
      </c>
      <c r="C150" s="45"/>
      <c r="D150" s="18"/>
      <c r="E150" s="72">
        <f>SUM(E151)</f>
        <v>140000</v>
      </c>
      <c r="F150" s="32">
        <f>SUM(F151)</f>
        <v>45601.2</v>
      </c>
      <c r="G150" s="32">
        <f>SUM(G151)</f>
        <v>45601.2</v>
      </c>
      <c r="H150" s="13">
        <f t="shared" si="2"/>
        <v>32.6</v>
      </c>
    </row>
    <row r="151" spans="1:8" ht="30">
      <c r="A151" s="1" t="s">
        <v>27</v>
      </c>
      <c r="B151" s="44" t="s">
        <v>158</v>
      </c>
      <c r="C151" s="45" t="s">
        <v>9</v>
      </c>
      <c r="D151" s="18"/>
      <c r="E151" s="18">
        <v>140000</v>
      </c>
      <c r="F151" s="18">
        <v>45601.2</v>
      </c>
      <c r="G151" s="18">
        <v>45601.2</v>
      </c>
      <c r="H151" s="13">
        <f t="shared" si="2"/>
        <v>32.6</v>
      </c>
    </row>
    <row r="152" spans="2:8" ht="15">
      <c r="B152" s="30" t="s">
        <v>159</v>
      </c>
      <c r="C152" s="31"/>
      <c r="D152" s="32">
        <f>SUM(D153,D169,D176,D187,D189,D194,D196)</f>
        <v>5828024</v>
      </c>
      <c r="E152" s="32">
        <f>SUM(E153,E169,E176,E187,E189,E194,E196)</f>
        <v>6972833</v>
      </c>
      <c r="F152" s="32">
        <f>SUM(F153,F169,F176,F187,F189,F194,F196)</f>
        <v>2189788.8800000004</v>
      </c>
      <c r="G152" s="32">
        <f>SUM(G153,G169,G176,G187,G189,G194,G196)</f>
        <v>633743.71</v>
      </c>
      <c r="H152" s="33">
        <f t="shared" si="2"/>
        <v>31.4</v>
      </c>
    </row>
    <row r="153" spans="2:8" ht="15">
      <c r="B153" s="60" t="s">
        <v>160</v>
      </c>
      <c r="C153" s="31"/>
      <c r="D153" s="36">
        <f>SUM(D154:D167)</f>
        <v>1108312</v>
      </c>
      <c r="E153" s="36">
        <f>SUM(E154:E168)</f>
        <v>1436201</v>
      </c>
      <c r="F153" s="36">
        <f>SUM(F154:F168)</f>
        <v>408159.76</v>
      </c>
      <c r="G153" s="36">
        <f>SUM(G154:G168)</f>
        <v>60013.560000000005</v>
      </c>
      <c r="H153" s="13">
        <f t="shared" si="2"/>
        <v>28.4</v>
      </c>
    </row>
    <row r="154" spans="1:8" ht="30">
      <c r="A154" s="1" t="s">
        <v>24</v>
      </c>
      <c r="B154" s="8" t="s">
        <v>161</v>
      </c>
      <c r="C154" s="19" t="s">
        <v>12</v>
      </c>
      <c r="D154" s="18">
        <v>178312</v>
      </c>
      <c r="E154" s="18">
        <v>178312</v>
      </c>
      <c r="F154" s="18">
        <v>94909</v>
      </c>
      <c r="G154" s="18"/>
      <c r="H154" s="13">
        <f t="shared" si="2"/>
        <v>53.2</v>
      </c>
    </row>
    <row r="155" spans="1:8" ht="24">
      <c r="A155" s="1" t="s">
        <v>20</v>
      </c>
      <c r="B155" s="8" t="s">
        <v>162</v>
      </c>
      <c r="C155" s="19" t="s">
        <v>9</v>
      </c>
      <c r="D155" s="18">
        <v>60000</v>
      </c>
      <c r="E155" s="18">
        <v>60000</v>
      </c>
      <c r="F155" s="18"/>
      <c r="G155" s="18"/>
      <c r="H155" s="13">
        <f t="shared" si="2"/>
        <v>0</v>
      </c>
    </row>
    <row r="156" spans="1:8" ht="30">
      <c r="A156" s="1" t="s">
        <v>20</v>
      </c>
      <c r="B156" s="8" t="s">
        <v>163</v>
      </c>
      <c r="C156" s="19" t="s">
        <v>9</v>
      </c>
      <c r="D156" s="18">
        <v>150000</v>
      </c>
      <c r="E156" s="18">
        <f>150000+18000</f>
        <v>168000</v>
      </c>
      <c r="F156" s="18">
        <v>95479.6</v>
      </c>
      <c r="G156" s="18"/>
      <c r="H156" s="13">
        <f t="shared" si="2"/>
        <v>56.8</v>
      </c>
    </row>
    <row r="157" spans="1:8" ht="24">
      <c r="A157" s="1" t="s">
        <v>20</v>
      </c>
      <c r="B157" s="8" t="s">
        <v>164</v>
      </c>
      <c r="C157" s="19" t="s">
        <v>9</v>
      </c>
      <c r="D157" s="18"/>
      <c r="E157" s="18">
        <v>30000</v>
      </c>
      <c r="F157" s="18">
        <v>29302.4</v>
      </c>
      <c r="G157" s="18">
        <v>5603.4</v>
      </c>
      <c r="H157" s="13">
        <f t="shared" si="2"/>
        <v>97.7</v>
      </c>
    </row>
    <row r="158" spans="1:8" ht="24">
      <c r="A158" s="1" t="s">
        <v>20</v>
      </c>
      <c r="B158" s="8" t="s">
        <v>165</v>
      </c>
      <c r="C158" s="19" t="s">
        <v>9</v>
      </c>
      <c r="D158" s="18">
        <v>40000</v>
      </c>
      <c r="E158" s="18">
        <f>40000+6000</f>
        <v>46000</v>
      </c>
      <c r="F158" s="18">
        <v>39312.16</v>
      </c>
      <c r="G158" s="18">
        <v>19328</v>
      </c>
      <c r="H158" s="13">
        <f t="shared" si="2"/>
        <v>85.5</v>
      </c>
    </row>
    <row r="159" spans="1:8" ht="24">
      <c r="A159" s="1" t="s">
        <v>20</v>
      </c>
      <c r="B159" s="8" t="s">
        <v>166</v>
      </c>
      <c r="C159" s="19" t="s">
        <v>9</v>
      </c>
      <c r="D159" s="18">
        <f>100000+500000</f>
        <v>600000</v>
      </c>
      <c r="E159" s="18">
        <f>100000+500000+60000</f>
        <v>660000</v>
      </c>
      <c r="F159" s="18">
        <v>78437.46</v>
      </c>
      <c r="G159" s="18">
        <v>6912.4</v>
      </c>
      <c r="H159" s="13">
        <f t="shared" si="2"/>
        <v>11.9</v>
      </c>
    </row>
    <row r="160" spans="1:8" ht="24">
      <c r="A160" s="1" t="s">
        <v>20</v>
      </c>
      <c r="B160" s="8" t="s">
        <v>167</v>
      </c>
      <c r="C160" s="19" t="s">
        <v>9</v>
      </c>
      <c r="D160" s="18">
        <v>20000</v>
      </c>
      <c r="E160" s="18">
        <v>38000</v>
      </c>
      <c r="F160" s="18"/>
      <c r="G160" s="18"/>
      <c r="H160" s="13"/>
    </row>
    <row r="161" spans="1:8" ht="24">
      <c r="A161" s="1" t="s">
        <v>20</v>
      </c>
      <c r="B161" s="8" t="s">
        <v>168</v>
      </c>
      <c r="C161" s="19" t="s">
        <v>9</v>
      </c>
      <c r="D161" s="18">
        <v>30000</v>
      </c>
      <c r="E161" s="18">
        <v>30000</v>
      </c>
      <c r="F161" s="18">
        <v>624</v>
      </c>
      <c r="G161" s="18">
        <v>624</v>
      </c>
      <c r="H161" s="13">
        <f t="shared" si="2"/>
        <v>2.1</v>
      </c>
    </row>
    <row r="162" spans="1:8" ht="24">
      <c r="A162" s="1" t="s">
        <v>20</v>
      </c>
      <c r="B162" s="8" t="s">
        <v>169</v>
      </c>
      <c r="C162" s="19" t="s">
        <v>9</v>
      </c>
      <c r="D162" s="18"/>
      <c r="E162" s="18">
        <v>28696</v>
      </c>
      <c r="F162" s="18">
        <v>17580</v>
      </c>
      <c r="G162" s="18"/>
      <c r="H162" s="13">
        <f t="shared" si="2"/>
        <v>61.3</v>
      </c>
    </row>
    <row r="163" spans="1:8" ht="24">
      <c r="A163" s="1" t="s">
        <v>20</v>
      </c>
      <c r="B163" s="8" t="s">
        <v>170</v>
      </c>
      <c r="C163" s="19" t="s">
        <v>9</v>
      </c>
      <c r="D163" s="19" t="s">
        <v>9</v>
      </c>
      <c r="E163" s="18">
        <v>12193</v>
      </c>
      <c r="F163" s="18">
        <v>14297.78</v>
      </c>
      <c r="G163" s="18"/>
      <c r="H163" s="13">
        <f t="shared" si="2"/>
        <v>117.3</v>
      </c>
    </row>
    <row r="164" spans="1:8" ht="24">
      <c r="A164" s="1" t="s">
        <v>20</v>
      </c>
      <c r="B164" s="83" t="s">
        <v>210</v>
      </c>
      <c r="C164" s="89" t="s">
        <v>9</v>
      </c>
      <c r="D164" s="53"/>
      <c r="E164" s="53"/>
      <c r="F164" s="53">
        <v>5525.76</v>
      </c>
      <c r="G164" s="53">
        <v>5525.76</v>
      </c>
      <c r="H164" s="69"/>
    </row>
    <row r="165" spans="1:8" ht="24">
      <c r="A165" s="1" t="s">
        <v>20</v>
      </c>
      <c r="B165" s="8" t="s">
        <v>171</v>
      </c>
      <c r="C165" s="19" t="s">
        <v>9</v>
      </c>
      <c r="D165" s="18"/>
      <c r="E165" s="18">
        <v>110000</v>
      </c>
      <c r="F165" s="18"/>
      <c r="G165" s="18"/>
      <c r="H165" s="13">
        <f t="shared" si="2"/>
        <v>0</v>
      </c>
    </row>
    <row r="166" spans="1:8" ht="24">
      <c r="A166" s="1" t="s">
        <v>20</v>
      </c>
      <c r="B166" s="8" t="s">
        <v>172</v>
      </c>
      <c r="C166" s="19" t="s">
        <v>12</v>
      </c>
      <c r="D166" s="18"/>
      <c r="E166" s="18">
        <v>20000</v>
      </c>
      <c r="F166" s="18"/>
      <c r="G166" s="18"/>
      <c r="H166" s="13">
        <f t="shared" si="2"/>
        <v>0</v>
      </c>
    </row>
    <row r="167" spans="1:8" ht="30">
      <c r="A167" s="1" t="s">
        <v>20</v>
      </c>
      <c r="B167" s="8" t="s">
        <v>173</v>
      </c>
      <c r="C167" s="19" t="s">
        <v>9</v>
      </c>
      <c r="D167" s="18">
        <v>30000</v>
      </c>
      <c r="E167" s="18">
        <v>30000</v>
      </c>
      <c r="F167" s="18">
        <v>32691.6</v>
      </c>
      <c r="G167" s="18">
        <v>22020</v>
      </c>
      <c r="H167" s="13">
        <f t="shared" si="2"/>
        <v>109</v>
      </c>
    </row>
    <row r="168" spans="1:8" ht="24">
      <c r="A168" s="1" t="s">
        <v>20</v>
      </c>
      <c r="B168" s="8" t="s">
        <v>104</v>
      </c>
      <c r="C168" s="19" t="s">
        <v>9</v>
      </c>
      <c r="D168" s="18"/>
      <c r="E168" s="18">
        <v>25000</v>
      </c>
      <c r="F168" s="18"/>
      <c r="G168" s="18"/>
      <c r="H168" s="13">
        <f t="shared" si="2"/>
        <v>0</v>
      </c>
    </row>
    <row r="169" spans="2:8" ht="15">
      <c r="B169" s="60" t="s">
        <v>174</v>
      </c>
      <c r="C169" s="31"/>
      <c r="D169" s="36">
        <f>SUM(D170:D175)</f>
        <v>227400</v>
      </c>
      <c r="E169" s="36">
        <f>SUM(E170:E175)</f>
        <v>345399</v>
      </c>
      <c r="F169" s="36">
        <f>SUM(F170:F175)</f>
        <v>123202.26</v>
      </c>
      <c r="G169" s="36">
        <f>SUM(G170:G175)</f>
        <v>38909.46</v>
      </c>
      <c r="H169" s="13">
        <f t="shared" si="2"/>
        <v>35.7</v>
      </c>
    </row>
    <row r="170" spans="1:8" ht="24">
      <c r="A170" s="1" t="s">
        <v>20</v>
      </c>
      <c r="B170" s="8" t="s">
        <v>175</v>
      </c>
      <c r="C170" s="19" t="s">
        <v>9</v>
      </c>
      <c r="D170" s="18">
        <v>80000</v>
      </c>
      <c r="E170" s="18">
        <f>80000+13600</f>
        <v>93600</v>
      </c>
      <c r="F170" s="18">
        <v>39495.6</v>
      </c>
      <c r="G170" s="18">
        <v>22358.4</v>
      </c>
      <c r="H170" s="13">
        <f t="shared" si="2"/>
        <v>42.2</v>
      </c>
    </row>
    <row r="171" spans="1:8" ht="24">
      <c r="A171" s="1" t="s">
        <v>20</v>
      </c>
      <c r="B171" s="8" t="s">
        <v>176</v>
      </c>
      <c r="C171" s="19" t="s">
        <v>9</v>
      </c>
      <c r="D171" s="18">
        <v>60000</v>
      </c>
      <c r="E171" s="18">
        <f>60000+30000</f>
        <v>90000</v>
      </c>
      <c r="F171" s="18">
        <v>22313.46</v>
      </c>
      <c r="G171" s="18">
        <v>14751.06</v>
      </c>
      <c r="H171" s="13">
        <f t="shared" si="2"/>
        <v>24.8</v>
      </c>
    </row>
    <row r="172" spans="1:8" ht="24">
      <c r="A172" s="1" t="s">
        <v>20</v>
      </c>
      <c r="B172" s="65" t="s">
        <v>176</v>
      </c>
      <c r="C172" s="66" t="s">
        <v>9</v>
      </c>
      <c r="D172" s="48"/>
      <c r="E172" s="48">
        <v>31956</v>
      </c>
      <c r="F172" s="48">
        <v>4012.8</v>
      </c>
      <c r="G172" s="48"/>
      <c r="H172" s="67">
        <f t="shared" si="2"/>
        <v>12.6</v>
      </c>
    </row>
    <row r="173" spans="1:8" ht="24">
      <c r="A173" s="1" t="s">
        <v>20</v>
      </c>
      <c r="B173" s="8" t="s">
        <v>177</v>
      </c>
      <c r="C173" s="19" t="s">
        <v>9</v>
      </c>
      <c r="D173" s="18">
        <v>80000</v>
      </c>
      <c r="E173" s="18">
        <v>80000</v>
      </c>
      <c r="F173" s="18">
        <v>29673.2</v>
      </c>
      <c r="G173" s="18">
        <v>1800</v>
      </c>
      <c r="H173" s="13">
        <f t="shared" si="2"/>
        <v>37.1</v>
      </c>
    </row>
    <row r="174" spans="1:8" ht="24">
      <c r="A174" s="1" t="s">
        <v>20</v>
      </c>
      <c r="B174" s="8" t="s">
        <v>178</v>
      </c>
      <c r="C174" s="19" t="s">
        <v>9</v>
      </c>
      <c r="D174" s="18"/>
      <c r="E174" s="18">
        <v>42443</v>
      </c>
      <c r="F174" s="18">
        <v>20310</v>
      </c>
      <c r="G174" s="18"/>
      <c r="H174" s="13">
        <f t="shared" si="2"/>
        <v>47.9</v>
      </c>
    </row>
    <row r="175" spans="1:8" ht="30">
      <c r="A175" s="1" t="s">
        <v>24</v>
      </c>
      <c r="B175" s="8" t="s">
        <v>179</v>
      </c>
      <c r="C175" s="19" t="s">
        <v>9</v>
      </c>
      <c r="D175" s="18">
        <v>7400</v>
      </c>
      <c r="E175" s="18">
        <v>7400</v>
      </c>
      <c r="F175" s="18">
        <v>7397.2</v>
      </c>
      <c r="G175" s="18"/>
      <c r="H175" s="13">
        <f t="shared" si="2"/>
        <v>100</v>
      </c>
    </row>
    <row r="176" spans="2:8" ht="15">
      <c r="B176" s="73" t="s">
        <v>180</v>
      </c>
      <c r="C176" s="74"/>
      <c r="D176" s="75">
        <f>SUM(D177:D186)</f>
        <v>4143000</v>
      </c>
      <c r="E176" s="75">
        <f>SUM(E177:E186)</f>
        <v>4353271</v>
      </c>
      <c r="F176" s="75">
        <f>SUM(F177:F186)</f>
        <v>1330392.45</v>
      </c>
      <c r="G176" s="75">
        <f>SUM(G177:G186)</f>
        <v>363012.78</v>
      </c>
      <c r="H176" s="13">
        <f t="shared" si="2"/>
        <v>30.6</v>
      </c>
    </row>
    <row r="177" spans="1:8" ht="24">
      <c r="A177" s="1" t="s">
        <v>20</v>
      </c>
      <c r="B177" s="76" t="s">
        <v>181</v>
      </c>
      <c r="C177" s="77" t="s">
        <v>9</v>
      </c>
      <c r="D177" s="78">
        <v>450000</v>
      </c>
      <c r="E177" s="78">
        <f>450000+40000</f>
        <v>490000</v>
      </c>
      <c r="F177" s="18">
        <v>428656.01</v>
      </c>
      <c r="G177" s="18">
        <v>153579.19</v>
      </c>
      <c r="H177" s="13">
        <f t="shared" si="2"/>
        <v>87.5</v>
      </c>
    </row>
    <row r="178" spans="1:8" ht="24">
      <c r="A178" s="1" t="s">
        <v>20</v>
      </c>
      <c r="B178" s="76" t="s">
        <v>182</v>
      </c>
      <c r="C178" s="77" t="s">
        <v>9</v>
      </c>
      <c r="D178" s="78">
        <v>400000</v>
      </c>
      <c r="E178" s="78">
        <f>400000+91000</f>
        <v>491000</v>
      </c>
      <c r="F178" s="18">
        <v>367726.55</v>
      </c>
      <c r="G178" s="18">
        <v>80884.55</v>
      </c>
      <c r="H178" s="13">
        <f t="shared" si="2"/>
        <v>74.9</v>
      </c>
    </row>
    <row r="179" spans="1:8" ht="24">
      <c r="A179" s="1" t="s">
        <v>20</v>
      </c>
      <c r="B179" s="76" t="s">
        <v>183</v>
      </c>
      <c r="C179" s="77" t="s">
        <v>9</v>
      </c>
      <c r="D179" s="78">
        <v>40000</v>
      </c>
      <c r="E179" s="78">
        <f>40000+28017+54</f>
        <v>68071</v>
      </c>
      <c r="F179" s="18">
        <v>69288.23</v>
      </c>
      <c r="G179" s="18"/>
      <c r="H179" s="13">
        <f t="shared" si="2"/>
        <v>101.8</v>
      </c>
    </row>
    <row r="180" spans="1:8" ht="24">
      <c r="A180" s="1" t="s">
        <v>20</v>
      </c>
      <c r="B180" s="76" t="s">
        <v>184</v>
      </c>
      <c r="C180" s="77" t="s">
        <v>9</v>
      </c>
      <c r="D180" s="78">
        <v>500000</v>
      </c>
      <c r="E180" s="78">
        <v>500000</v>
      </c>
      <c r="F180" s="18">
        <v>62561.24</v>
      </c>
      <c r="G180" s="18">
        <v>418.76</v>
      </c>
      <c r="H180" s="13">
        <f t="shared" si="2"/>
        <v>12.5</v>
      </c>
    </row>
    <row r="181" spans="1:8" ht="24">
      <c r="A181" s="1" t="s">
        <v>20</v>
      </c>
      <c r="B181" s="79" t="s">
        <v>184</v>
      </c>
      <c r="C181" s="80" t="s">
        <v>9</v>
      </c>
      <c r="D181" s="48">
        <v>2500000</v>
      </c>
      <c r="E181" s="48">
        <v>2500000</v>
      </c>
      <c r="F181" s="48">
        <v>133123.22</v>
      </c>
      <c r="G181" s="48">
        <v>1149.64</v>
      </c>
      <c r="H181" s="50">
        <f t="shared" si="2"/>
        <v>5.3</v>
      </c>
    </row>
    <row r="182" spans="1:8" ht="24">
      <c r="A182" s="1" t="s">
        <v>20</v>
      </c>
      <c r="B182" s="76" t="s">
        <v>185</v>
      </c>
      <c r="C182" s="77" t="s">
        <v>9</v>
      </c>
      <c r="D182" s="78">
        <v>200000</v>
      </c>
      <c r="E182" s="78">
        <f>200000+24000</f>
        <v>224000</v>
      </c>
      <c r="F182" s="18">
        <v>185543.54</v>
      </c>
      <c r="G182" s="18">
        <v>78671.78</v>
      </c>
      <c r="H182" s="13">
        <f t="shared" si="2"/>
        <v>82.8</v>
      </c>
    </row>
    <row r="183" spans="1:8" ht="24">
      <c r="A183" s="1" t="s">
        <v>24</v>
      </c>
      <c r="B183" s="76" t="s">
        <v>186</v>
      </c>
      <c r="C183" s="77" t="s">
        <v>9</v>
      </c>
      <c r="D183" s="78"/>
      <c r="E183" s="78">
        <v>20000</v>
      </c>
      <c r="F183" s="18">
        <v>20000</v>
      </c>
      <c r="G183" s="18"/>
      <c r="H183" s="13">
        <f t="shared" si="2"/>
        <v>100</v>
      </c>
    </row>
    <row r="184" spans="1:8" ht="24">
      <c r="A184" s="1" t="s">
        <v>20</v>
      </c>
      <c r="B184" s="76" t="s">
        <v>187</v>
      </c>
      <c r="C184" s="77" t="s">
        <v>9</v>
      </c>
      <c r="D184" s="78">
        <v>43000</v>
      </c>
      <c r="E184" s="78">
        <v>43000</v>
      </c>
      <c r="F184" s="18">
        <v>46043.66</v>
      </c>
      <c r="G184" s="18">
        <v>38058.86</v>
      </c>
      <c r="H184" s="13">
        <f t="shared" si="2"/>
        <v>107.1</v>
      </c>
    </row>
    <row r="185" spans="1:8" ht="30">
      <c r="A185" s="1" t="s">
        <v>24</v>
      </c>
      <c r="B185" s="76" t="s">
        <v>188</v>
      </c>
      <c r="C185" s="77" t="s">
        <v>9</v>
      </c>
      <c r="D185" s="78"/>
      <c r="E185" s="78">
        <f>3200+4000</f>
        <v>7200</v>
      </c>
      <c r="F185" s="18">
        <v>7200</v>
      </c>
      <c r="G185" s="18"/>
      <c r="H185" s="13">
        <f t="shared" si="2"/>
        <v>100</v>
      </c>
    </row>
    <row r="186" spans="1:8" ht="24">
      <c r="A186" s="1" t="s">
        <v>20</v>
      </c>
      <c r="B186" s="76" t="s">
        <v>189</v>
      </c>
      <c r="C186" s="77" t="s">
        <v>9</v>
      </c>
      <c r="D186" s="78">
        <v>10000</v>
      </c>
      <c r="E186" s="78">
        <v>10000</v>
      </c>
      <c r="F186" s="18">
        <v>10250</v>
      </c>
      <c r="G186" s="18">
        <v>10250</v>
      </c>
      <c r="H186" s="13">
        <f t="shared" si="2"/>
        <v>102.5</v>
      </c>
    </row>
    <row r="187" spans="2:8" ht="15">
      <c r="B187" s="8" t="s">
        <v>190</v>
      </c>
      <c r="C187" s="77"/>
      <c r="D187" s="75">
        <f>SUM(D188:D188)</f>
        <v>10000</v>
      </c>
      <c r="E187" s="75">
        <f>SUM(E188:E188)</f>
        <v>10000</v>
      </c>
      <c r="F187" s="75">
        <f>SUM(F188:F188)</f>
        <v>9997.37</v>
      </c>
      <c r="G187" s="75">
        <f>SUM(G188:G188)</f>
        <v>0</v>
      </c>
      <c r="H187" s="13">
        <f t="shared" si="2"/>
        <v>100</v>
      </c>
    </row>
    <row r="188" spans="1:8" ht="24">
      <c r="A188" s="1" t="s">
        <v>20</v>
      </c>
      <c r="B188" s="8" t="s">
        <v>191</v>
      </c>
      <c r="C188" s="77" t="s">
        <v>9</v>
      </c>
      <c r="D188" s="78">
        <v>10000</v>
      </c>
      <c r="E188" s="78">
        <v>10000</v>
      </c>
      <c r="F188" s="18">
        <v>9997.37</v>
      </c>
      <c r="G188" s="18"/>
      <c r="H188" s="13">
        <f t="shared" si="2"/>
        <v>100</v>
      </c>
    </row>
    <row r="189" spans="2:8" ht="15">
      <c r="B189" s="8" t="s">
        <v>192</v>
      </c>
      <c r="C189" s="77"/>
      <c r="D189" s="36">
        <f>SUM(D190:D193)</f>
        <v>25675</v>
      </c>
      <c r="E189" s="36">
        <f>SUM(E190:E193)</f>
        <v>430869</v>
      </c>
      <c r="F189" s="36">
        <f>SUM(F190:F193)</f>
        <v>207213.31</v>
      </c>
      <c r="G189" s="36">
        <f>SUM(G190:G193)</f>
        <v>140882.71</v>
      </c>
      <c r="H189" s="13">
        <f aca="true" t="shared" si="3" ref="H189:H206">ROUND(F189/E189*100,1)</f>
        <v>48.1</v>
      </c>
    </row>
    <row r="190" spans="1:8" ht="24">
      <c r="A190" s="1" t="s">
        <v>24</v>
      </c>
      <c r="B190" s="8" t="s">
        <v>193</v>
      </c>
      <c r="C190" s="77" t="s">
        <v>9</v>
      </c>
      <c r="D190" s="18">
        <f>59312-33637</f>
        <v>25675</v>
      </c>
      <c r="E190" s="81">
        <f>116532+24614+2426</f>
        <v>143572</v>
      </c>
      <c r="F190" s="18">
        <v>38023.5</v>
      </c>
      <c r="G190" s="18"/>
      <c r="H190" s="13">
        <f t="shared" si="3"/>
        <v>26.5</v>
      </c>
    </row>
    <row r="191" spans="1:8" ht="24">
      <c r="A191" s="1" t="s">
        <v>24</v>
      </c>
      <c r="B191" s="65" t="s">
        <v>193</v>
      </c>
      <c r="C191" s="82" t="s">
        <v>9</v>
      </c>
      <c r="D191" s="48"/>
      <c r="E191" s="18">
        <v>125840</v>
      </c>
      <c r="F191" s="18">
        <v>51669.4</v>
      </c>
      <c r="G191" s="18">
        <f>9379.7+40728.7</f>
        <v>50108.399999999994</v>
      </c>
      <c r="H191" s="13">
        <f t="shared" si="3"/>
        <v>41.1</v>
      </c>
    </row>
    <row r="192" spans="1:8" ht="24">
      <c r="A192" s="1" t="s">
        <v>24</v>
      </c>
      <c r="B192" s="83" t="s">
        <v>194</v>
      </c>
      <c r="C192" s="82" t="s">
        <v>9</v>
      </c>
      <c r="D192" s="53"/>
      <c r="E192" s="81">
        <v>43333</v>
      </c>
      <c r="F192" s="18">
        <v>47693.1</v>
      </c>
      <c r="G192" s="18">
        <v>20947</v>
      </c>
      <c r="H192" s="13">
        <f t="shared" si="3"/>
        <v>110.1</v>
      </c>
    </row>
    <row r="193" spans="1:8" ht="30">
      <c r="A193" s="1" t="s">
        <v>24</v>
      </c>
      <c r="B193" s="83" t="s">
        <v>195</v>
      </c>
      <c r="C193" s="82" t="s">
        <v>9</v>
      </c>
      <c r="D193" s="53"/>
      <c r="E193" s="81">
        <f>85000+33124</f>
        <v>118124</v>
      </c>
      <c r="F193" s="18">
        <v>69827.31</v>
      </c>
      <c r="G193" s="18">
        <v>69827.31</v>
      </c>
      <c r="H193" s="13">
        <f t="shared" si="3"/>
        <v>59.1</v>
      </c>
    </row>
    <row r="194" spans="2:8" ht="15">
      <c r="B194" s="8" t="s">
        <v>196</v>
      </c>
      <c r="C194" s="77"/>
      <c r="D194" s="32">
        <f>SUM(D195)</f>
        <v>33637</v>
      </c>
      <c r="E194" s="32">
        <f>SUM(E195)</f>
        <v>68620</v>
      </c>
      <c r="F194" s="32">
        <f>SUM(F195)</f>
        <v>0</v>
      </c>
      <c r="G194" s="32"/>
      <c r="H194" s="13">
        <f t="shared" si="3"/>
        <v>0</v>
      </c>
    </row>
    <row r="195" spans="1:8" ht="15">
      <c r="A195" s="1" t="s">
        <v>24</v>
      </c>
      <c r="B195" s="83" t="s">
        <v>197</v>
      </c>
      <c r="C195" s="77" t="s">
        <v>9</v>
      </c>
      <c r="D195" s="18">
        <v>33637</v>
      </c>
      <c r="E195" s="18">
        <f>33637+34983</f>
        <v>68620</v>
      </c>
      <c r="F195" s="18"/>
      <c r="G195" s="18"/>
      <c r="H195" s="13">
        <f t="shared" si="3"/>
        <v>0</v>
      </c>
    </row>
    <row r="196" spans="2:8" ht="15">
      <c r="B196" s="60" t="s">
        <v>198</v>
      </c>
      <c r="C196" s="31"/>
      <c r="D196" s="36">
        <f>SUM(D197:D198)</f>
        <v>280000</v>
      </c>
      <c r="E196" s="36">
        <f>SUM(E197:E198)</f>
        <v>328473</v>
      </c>
      <c r="F196" s="36">
        <f>SUM(F197:F198)</f>
        <v>110823.73</v>
      </c>
      <c r="G196" s="36">
        <f>SUM(G197:G198)</f>
        <v>30925.2</v>
      </c>
      <c r="H196" s="13">
        <f t="shared" si="3"/>
        <v>33.7</v>
      </c>
    </row>
    <row r="197" spans="1:8" ht="15">
      <c r="A197" s="1" t="s">
        <v>20</v>
      </c>
      <c r="B197" s="8" t="s">
        <v>199</v>
      </c>
      <c r="C197" s="19" t="s">
        <v>9</v>
      </c>
      <c r="D197" s="18">
        <v>200000</v>
      </c>
      <c r="E197" s="18">
        <f>200000+48473</f>
        <v>248473</v>
      </c>
      <c r="F197" s="18">
        <v>43273.95</v>
      </c>
      <c r="G197" s="18">
        <f>23484+5190</f>
        <v>28674</v>
      </c>
      <c r="H197" s="13">
        <f t="shared" si="3"/>
        <v>17.4</v>
      </c>
    </row>
    <row r="198" spans="1:8" ht="30">
      <c r="A198" s="1" t="s">
        <v>20</v>
      </c>
      <c r="B198" s="8" t="s">
        <v>200</v>
      </c>
      <c r="C198" s="19" t="s">
        <v>9</v>
      </c>
      <c r="D198" s="18">
        <v>80000</v>
      </c>
      <c r="E198" s="18">
        <v>80000</v>
      </c>
      <c r="F198" s="18">
        <v>67549.78</v>
      </c>
      <c r="G198" s="18">
        <f>1903.2+348</f>
        <v>2251.2</v>
      </c>
      <c r="H198" s="13">
        <f t="shared" si="3"/>
        <v>84.4</v>
      </c>
    </row>
    <row r="199" spans="2:8" ht="15">
      <c r="B199" s="30" t="s">
        <v>201</v>
      </c>
      <c r="C199" s="31"/>
      <c r="D199" s="32">
        <f>SUM(D200,D202,D204)</f>
        <v>178300</v>
      </c>
      <c r="E199" s="32">
        <f>SUM(E200,E202,E204)</f>
        <v>328300</v>
      </c>
      <c r="F199" s="32">
        <f>SUM(F200,F202,F204)</f>
        <v>185979.2</v>
      </c>
      <c r="G199" s="32">
        <f>SUM(G200,G202,G204)</f>
        <v>5340</v>
      </c>
      <c r="H199" s="13">
        <f t="shared" si="3"/>
        <v>56.6</v>
      </c>
    </row>
    <row r="200" spans="2:8" ht="15">
      <c r="B200" s="30" t="s">
        <v>202</v>
      </c>
      <c r="C200" s="31"/>
      <c r="D200" s="36">
        <f>SUM(D201)</f>
        <v>10300</v>
      </c>
      <c r="E200" s="36">
        <f>SUM(E201)</f>
        <v>10300</v>
      </c>
      <c r="F200" s="36">
        <f>SUM(F201)</f>
        <v>5503.2</v>
      </c>
      <c r="G200" s="36"/>
      <c r="H200" s="13">
        <f t="shared" si="3"/>
        <v>53.4</v>
      </c>
    </row>
    <row r="201" spans="1:8" ht="15">
      <c r="A201" s="1" t="s">
        <v>203</v>
      </c>
      <c r="B201" s="8" t="s">
        <v>204</v>
      </c>
      <c r="C201" s="19" t="s">
        <v>9</v>
      </c>
      <c r="D201" s="18">
        <v>10300</v>
      </c>
      <c r="E201" s="18">
        <v>10300</v>
      </c>
      <c r="F201" s="18">
        <v>5503.2</v>
      </c>
      <c r="G201" s="18"/>
      <c r="H201" s="13">
        <f t="shared" si="3"/>
        <v>53.4</v>
      </c>
    </row>
    <row r="202" spans="2:8" ht="15">
      <c r="B202" s="60" t="s">
        <v>205</v>
      </c>
      <c r="C202" s="61"/>
      <c r="D202" s="36">
        <f>SUM(D203)</f>
        <v>18000</v>
      </c>
      <c r="E202" s="36">
        <f>SUM(E203)</f>
        <v>18000</v>
      </c>
      <c r="F202" s="36">
        <f>SUM(F203)</f>
        <v>10476</v>
      </c>
      <c r="G202" s="36">
        <f>SUM(G203)</f>
        <v>5340</v>
      </c>
      <c r="H202" s="13">
        <f t="shared" si="3"/>
        <v>58.2</v>
      </c>
    </row>
    <row r="203" spans="1:8" ht="15">
      <c r="A203" s="1" t="s">
        <v>20</v>
      </c>
      <c r="B203" s="8" t="s">
        <v>206</v>
      </c>
      <c r="C203" s="19" t="s">
        <v>9</v>
      </c>
      <c r="D203" s="18">
        <v>18000</v>
      </c>
      <c r="E203" s="18">
        <v>18000</v>
      </c>
      <c r="F203" s="18">
        <v>10476</v>
      </c>
      <c r="G203" s="18">
        <v>5340</v>
      </c>
      <c r="H203" s="13">
        <f t="shared" si="3"/>
        <v>58.2</v>
      </c>
    </row>
    <row r="204" spans="2:8" ht="30">
      <c r="B204" s="60" t="s">
        <v>207</v>
      </c>
      <c r="C204" s="61"/>
      <c r="D204" s="36">
        <f>SUM(D205:D205)</f>
        <v>150000</v>
      </c>
      <c r="E204" s="36">
        <f>SUM(E205:E206)</f>
        <v>300000</v>
      </c>
      <c r="F204" s="36">
        <f>SUM(F205,F206)</f>
        <v>170000</v>
      </c>
      <c r="G204" s="36">
        <f>SUM(G205:G206)</f>
        <v>0</v>
      </c>
      <c r="H204" s="13">
        <f t="shared" si="3"/>
        <v>56.7</v>
      </c>
    </row>
    <row r="205" spans="1:8" ht="30">
      <c r="A205" s="1" t="s">
        <v>20</v>
      </c>
      <c r="B205" s="8" t="s">
        <v>208</v>
      </c>
      <c r="C205" s="19" t="s">
        <v>9</v>
      </c>
      <c r="D205" s="18">
        <f>130000+20000</f>
        <v>150000</v>
      </c>
      <c r="E205" s="18">
        <f>130000+20000</f>
        <v>150000</v>
      </c>
      <c r="F205" s="53">
        <v>150000</v>
      </c>
      <c r="G205" s="18"/>
      <c r="H205" s="13">
        <f t="shared" si="3"/>
        <v>100</v>
      </c>
    </row>
    <row r="206" spans="1:8" ht="15">
      <c r="A206" s="1" t="s">
        <v>20</v>
      </c>
      <c r="B206" s="1" t="s">
        <v>209</v>
      </c>
      <c r="C206" s="19" t="s">
        <v>9</v>
      </c>
      <c r="D206" s="1"/>
      <c r="E206" s="18">
        <f>130000+20000</f>
        <v>150000</v>
      </c>
      <c r="F206" s="18">
        <v>20000</v>
      </c>
      <c r="G206" s="14"/>
      <c r="H206" s="13">
        <f t="shared" si="3"/>
        <v>13.3</v>
      </c>
    </row>
    <row r="207" spans="2:4" ht="31.5" customHeight="1">
      <c r="B207" s="92"/>
      <c r="C207" s="92"/>
      <c r="D207" s="93"/>
    </row>
  </sheetData>
  <sheetProtection/>
  <mergeCells count="3">
    <mergeCell ref="B1:D1"/>
    <mergeCell ref="B10:D10"/>
    <mergeCell ref="B207:D20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merke</dc:creator>
  <cp:keywords/>
  <dc:description/>
  <cp:lastModifiedBy>Indrek_K</cp:lastModifiedBy>
  <cp:lastPrinted>2014-10-10T11:46:33Z</cp:lastPrinted>
  <dcterms:created xsi:type="dcterms:W3CDTF">2014-10-10T11:34:06Z</dcterms:created>
  <dcterms:modified xsi:type="dcterms:W3CDTF">2014-10-15T11:10:07Z</dcterms:modified>
  <cp:category/>
  <cp:version/>
  <cp:contentType/>
  <cp:contentStatus/>
</cp:coreProperties>
</file>